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16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omments9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120" windowHeight="8100" tabRatio="617" firstSheet="6" activeTab="7"/>
  </bookViews>
  <sheets>
    <sheet name="รอบ 6 เดือน" sheetId="10" state="hidden" r:id="rId1"/>
    <sheet name="รอบ 7 เดือน" sheetId="1" state="hidden" r:id="rId2"/>
    <sheet name="รอบ 8 เดือน" sheetId="11" state="hidden" r:id="rId3"/>
    <sheet name="รอบ 9 เดือน" sheetId="12" state="hidden" r:id="rId4"/>
    <sheet name="รอบ 10 เดือน" sheetId="13" state="hidden" r:id="rId5"/>
    <sheet name="รอบ 11 เดือน " sheetId="14" state="hidden" r:id="rId6"/>
    <sheet name="รวม" sheetId="15" r:id="rId7"/>
    <sheet name="1.ผตป.พญ." sheetId="16" r:id="rId8"/>
    <sheet name="2.ผวศ.พญ." sheetId="17" r:id="rId9"/>
    <sheet name="3.ฝบท.พญ." sheetId="18" r:id="rId10"/>
    <sheet name="4.ผสญ.1" sheetId="20" r:id="rId11"/>
    <sheet name="5.ผสญ.2" sheetId="21" r:id="rId12"/>
    <sheet name="6.ผสญ.3" sheetId="22" r:id="rId13"/>
    <sheet name="7.ผสญ.4" sheetId="23" r:id="rId14"/>
    <sheet name="8.ผสญ.5" sheetId="24" r:id="rId15"/>
    <sheet name="9.ผสญ.6" sheetId="25" r:id="rId16"/>
    <sheet name="10.ผสญ.7" sheetId="26" r:id="rId17"/>
    <sheet name="11.ผสญ.8" sheetId="27" r:id="rId18"/>
    <sheet name="12.ผสญ.9" sheetId="28" r:id="rId19"/>
    <sheet name="13.ผสญ.10" sheetId="29" r:id="rId20"/>
    <sheet name="14.ผสญ.11" sheetId="30" r:id="rId21"/>
    <sheet name="15.ผสญ.12" sheetId="31" r:id="rId22"/>
    <sheet name="16.ผสญ.13" sheetId="32" r:id="rId23"/>
    <sheet name="Sheet4" sheetId="19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7">'1.ผตป.พญ.'!$A$1:$M$66</definedName>
    <definedName name="_xlnm.Print_Area" localSheetId="16">'10.ผสญ.7'!$A$1:$M$72</definedName>
    <definedName name="_xlnm.Print_Area" localSheetId="17">'11.ผสญ.8'!$A$1:$M$71</definedName>
    <definedName name="_xlnm.Print_Area" localSheetId="18">'12.ผสญ.9'!$A$1:$M$71</definedName>
    <definedName name="_xlnm.Print_Area" localSheetId="19">'13.ผสญ.10'!$A$1:$M$64</definedName>
    <definedName name="_xlnm.Print_Area" localSheetId="20">'14.ผสญ.11'!$A$1:$M$71</definedName>
    <definedName name="_xlnm.Print_Area" localSheetId="21">'15.ผสญ.12'!$A$1:$M$71</definedName>
    <definedName name="_xlnm.Print_Area" localSheetId="22">'16.ผสญ.13'!$A$1:$M$75</definedName>
    <definedName name="_xlnm.Print_Area" localSheetId="8">'2.ผวศ.พญ.'!$A$1:$M$48</definedName>
    <definedName name="_xlnm.Print_Area" localSheetId="9">'3.ฝบท.พญ.'!$A$1:$M$37</definedName>
    <definedName name="_xlnm.Print_Area" localSheetId="10">'4.ผสญ.1'!$A$1:$M$59</definedName>
    <definedName name="_xlnm.Print_Area" localSheetId="11">'5.ผสญ.2'!$A$1:$M$64</definedName>
    <definedName name="_xlnm.Print_Area" localSheetId="12">'6.ผสญ.3'!$A$1:$M$64</definedName>
    <definedName name="_xlnm.Print_Area" localSheetId="14">'8.ผสญ.5'!$A$1:$M$77</definedName>
    <definedName name="_xlnm.Print_Area" localSheetId="15">'9.ผสญ.6'!$A$1:$M$71</definedName>
    <definedName name="_xlnm.Print_Area" localSheetId="6">รวม!$A$1:$M$85</definedName>
    <definedName name="_xlnm.Print_Titles" localSheetId="7">'1.ผตป.พญ.'!$4:$5</definedName>
    <definedName name="_xlnm.Print_Titles" localSheetId="16">'10.ผสญ.7'!$4:$5</definedName>
    <definedName name="_xlnm.Print_Titles" localSheetId="17">'11.ผสญ.8'!$4:$5</definedName>
    <definedName name="_xlnm.Print_Titles" localSheetId="18">'12.ผสญ.9'!$4:$5</definedName>
    <definedName name="_xlnm.Print_Titles" localSheetId="19">'13.ผสญ.10'!$4:$5</definedName>
    <definedName name="_xlnm.Print_Titles" localSheetId="20">'14.ผสญ.11'!$4:$5</definedName>
    <definedName name="_xlnm.Print_Titles" localSheetId="21">'15.ผสญ.12'!$4:$5</definedName>
    <definedName name="_xlnm.Print_Titles" localSheetId="22">'16.ผสญ.13'!$4:$5</definedName>
    <definedName name="_xlnm.Print_Titles" localSheetId="8">'2.ผวศ.พญ.'!$4:$5</definedName>
    <definedName name="_xlnm.Print_Titles" localSheetId="9">'3.ฝบท.พญ.'!$4:$5</definedName>
    <definedName name="_xlnm.Print_Titles" localSheetId="10">'4.ผสญ.1'!$4:$5</definedName>
    <definedName name="_xlnm.Print_Titles" localSheetId="11">'5.ผสญ.2'!$4:$5</definedName>
    <definedName name="_xlnm.Print_Titles" localSheetId="12">'6.ผสญ.3'!$4:$5</definedName>
    <definedName name="_xlnm.Print_Titles" localSheetId="13">'7.ผสญ.4'!$4:$5</definedName>
    <definedName name="_xlnm.Print_Titles" localSheetId="14">'8.ผสญ.5'!$4:$5</definedName>
    <definedName name="_xlnm.Print_Titles" localSheetId="15">'9.ผสญ.6'!$4:$5</definedName>
    <definedName name="_xlnm.Print_Titles" localSheetId="6">รวม!$4:$5</definedName>
    <definedName name="_xlnm.Print_Titles" localSheetId="4">'รอบ 10 เดือน'!$4:$5</definedName>
    <definedName name="_xlnm.Print_Titles" localSheetId="5">'รอบ 11 เดือน '!$4:$5</definedName>
    <definedName name="_xlnm.Print_Titles" localSheetId="0">'รอบ 6 เดือน'!$4:$5</definedName>
    <definedName name="_xlnm.Print_Titles" localSheetId="1">'รอบ 7 เดือน'!$4:$5</definedName>
    <definedName name="_xlnm.Print_Titles" localSheetId="2">'รอบ 8 เดือน'!$4:$5</definedName>
    <definedName name="_xlnm.Print_Titles" localSheetId="3">'รอบ 9 เดือน'!$4:$5</definedName>
    <definedName name="Z_ED89CF83_5DE1_46A5_8666_D9B25B932357_.wvu.PrintTitles" localSheetId="7" hidden="1">'1.ผตป.พญ.'!$4:$5</definedName>
    <definedName name="Z_ED89CF83_5DE1_46A5_8666_D9B25B932357_.wvu.PrintTitles" localSheetId="16" hidden="1">'10.ผสญ.7'!$4:$5</definedName>
    <definedName name="Z_ED89CF83_5DE1_46A5_8666_D9B25B932357_.wvu.PrintTitles" localSheetId="17" hidden="1">'11.ผสญ.8'!$4:$5</definedName>
    <definedName name="Z_ED89CF83_5DE1_46A5_8666_D9B25B932357_.wvu.PrintTitles" localSheetId="18" hidden="1">'12.ผสญ.9'!$4:$5</definedName>
    <definedName name="Z_ED89CF83_5DE1_46A5_8666_D9B25B932357_.wvu.PrintTitles" localSheetId="19" hidden="1">'13.ผสญ.10'!$4:$5</definedName>
    <definedName name="Z_ED89CF83_5DE1_46A5_8666_D9B25B932357_.wvu.PrintTitles" localSheetId="20" hidden="1">'14.ผสญ.11'!$4:$5</definedName>
    <definedName name="Z_ED89CF83_5DE1_46A5_8666_D9B25B932357_.wvu.PrintTitles" localSheetId="21" hidden="1">'15.ผสญ.12'!$4:$5</definedName>
    <definedName name="Z_ED89CF83_5DE1_46A5_8666_D9B25B932357_.wvu.PrintTitles" localSheetId="22" hidden="1">'16.ผสญ.13'!$4:$5</definedName>
    <definedName name="Z_ED89CF83_5DE1_46A5_8666_D9B25B932357_.wvu.PrintTitles" localSheetId="8" hidden="1">'2.ผวศ.พญ.'!$4:$5</definedName>
    <definedName name="Z_ED89CF83_5DE1_46A5_8666_D9B25B932357_.wvu.PrintTitles" localSheetId="9" hidden="1">'3.ฝบท.พญ.'!$4:$5</definedName>
    <definedName name="Z_ED89CF83_5DE1_46A5_8666_D9B25B932357_.wvu.PrintTitles" localSheetId="10" hidden="1">'4.ผสญ.1'!$4:$5</definedName>
    <definedName name="Z_ED89CF83_5DE1_46A5_8666_D9B25B932357_.wvu.PrintTitles" localSheetId="11" hidden="1">'5.ผสญ.2'!$4:$5</definedName>
    <definedName name="Z_ED89CF83_5DE1_46A5_8666_D9B25B932357_.wvu.PrintTitles" localSheetId="12" hidden="1">'6.ผสญ.3'!$4:$5</definedName>
    <definedName name="Z_ED89CF83_5DE1_46A5_8666_D9B25B932357_.wvu.PrintTitles" localSheetId="13" hidden="1">'7.ผสญ.4'!$4:$5</definedName>
    <definedName name="Z_ED89CF83_5DE1_46A5_8666_D9B25B932357_.wvu.PrintTitles" localSheetId="14" hidden="1">'8.ผสญ.5'!$4:$5</definedName>
    <definedName name="Z_ED89CF83_5DE1_46A5_8666_D9B25B932357_.wvu.PrintTitles" localSheetId="15" hidden="1">'9.ผสญ.6'!$4:$5</definedName>
    <definedName name="Z_ED89CF83_5DE1_46A5_8666_D9B25B932357_.wvu.PrintTitles" localSheetId="6" hidden="1">รวม!$4:$5</definedName>
    <definedName name="Z_ED89CF83_5DE1_46A5_8666_D9B25B932357_.wvu.PrintTitles" localSheetId="4" hidden="1">'รอบ 10 เดือน'!$4:$5</definedName>
    <definedName name="Z_ED89CF83_5DE1_46A5_8666_D9B25B932357_.wvu.PrintTitles" localSheetId="5" hidden="1">'รอบ 11 เดือน '!$4:$5</definedName>
    <definedName name="Z_ED89CF83_5DE1_46A5_8666_D9B25B932357_.wvu.PrintTitles" localSheetId="0" hidden="1">'รอบ 6 เดือน'!$4:$5</definedName>
    <definedName name="Z_ED89CF83_5DE1_46A5_8666_D9B25B932357_.wvu.PrintTitles" localSheetId="1" hidden="1">'รอบ 7 เดือน'!$4:$5</definedName>
    <definedName name="Z_ED89CF83_5DE1_46A5_8666_D9B25B932357_.wvu.PrintTitles" localSheetId="2" hidden="1">'รอบ 8 เดือน'!$4:$5</definedName>
    <definedName name="Z_ED89CF83_5DE1_46A5_8666_D9B25B932357_.wvu.PrintTitles" localSheetId="3" hidden="1">'รอบ 9 เดือน'!$4:$5</definedName>
  </definedNames>
  <calcPr calcId="124519"/>
  <customWorkbookViews>
    <customWorkbookView name="Corporate Edition - Personal View" guid="{ED89CF83-5DE1-46A5-8666-D9B25B932357}" mergeInterval="0" personalView="1" maximized="1" xWindow="1" yWindow="1" windowWidth="1024" windowHeight="552" activeSheetId="2"/>
  </customWorkbookViews>
</workbook>
</file>

<file path=xl/calcChain.xml><?xml version="1.0" encoding="utf-8"?>
<calcChain xmlns="http://schemas.openxmlformats.org/spreadsheetml/2006/main">
  <c r="AL26" i="28"/>
  <c r="AK26"/>
  <c r="AM25"/>
  <c r="AN24"/>
  <c r="AM24"/>
  <c r="AG24"/>
  <c r="AD24"/>
  <c r="Z24"/>
  <c r="X24"/>
  <c r="W24"/>
  <c r="S24"/>
  <c r="R24"/>
  <c r="AE24" s="1"/>
  <c r="AN23"/>
  <c r="AM23"/>
  <c r="AD23"/>
  <c r="Z23"/>
  <c r="X23"/>
  <c r="W23"/>
  <c r="S23"/>
  <c r="R23"/>
  <c r="AE23" s="1"/>
  <c r="AF23" s="1"/>
  <c r="AM22"/>
  <c r="M22" i="22"/>
  <c r="AK26"/>
  <c r="R26"/>
  <c r="AM25"/>
  <c r="AN24"/>
  <c r="AM24"/>
  <c r="AD24"/>
  <c r="Z24"/>
  <c r="X24"/>
  <c r="W24"/>
  <c r="AG24" s="1"/>
  <c r="S24"/>
  <c r="AE24" s="1"/>
  <c r="AN23"/>
  <c r="AM23"/>
  <c r="AD23"/>
  <c r="Z23"/>
  <c r="X23"/>
  <c r="W23"/>
  <c r="S23"/>
  <c r="AM22"/>
  <c r="L22"/>
  <c r="K13" i="32"/>
  <c r="K15" i="15"/>
  <c r="J15"/>
  <c r="L22" i="21"/>
  <c r="AG23" i="28" l="1"/>
  <c r="AH23" s="1"/>
  <c r="AG23" i="22"/>
  <c r="AH23" s="1"/>
  <c r="AE23"/>
  <c r="AF23" s="1"/>
  <c r="L53" i="20"/>
  <c r="L55" i="16" l="1"/>
  <c r="L43" i="17"/>
  <c r="L32" i="18"/>
  <c r="L48" i="20"/>
  <c r="L53" i="21"/>
  <c r="A14" i="19" l="1"/>
  <c r="A12"/>
  <c r="A11"/>
  <c r="A7"/>
  <c r="A8" s="1"/>
  <c r="A9" s="1"/>
  <c r="A10" s="1"/>
  <c r="B75" i="32"/>
  <c r="M48" s="1"/>
  <c r="L69"/>
  <c r="AH65"/>
  <c r="L64"/>
  <c r="J53"/>
  <c r="AL49"/>
  <c r="AK49"/>
  <c r="AN48"/>
  <c r="AN47"/>
  <c r="AN46"/>
  <c r="AN45"/>
  <c r="AN44"/>
  <c r="AN43"/>
  <c r="AN42"/>
  <c r="AN41"/>
  <c r="AN40"/>
  <c r="AN39"/>
  <c r="AN38"/>
  <c r="AN37"/>
  <c r="AN36"/>
  <c r="J36"/>
  <c r="AN35"/>
  <c r="AN34"/>
  <c r="AM30"/>
  <c r="AN29"/>
  <c r="AM29"/>
  <c r="AM28"/>
  <c r="AM27"/>
  <c r="AN26"/>
  <c r="AM26"/>
  <c r="AN25"/>
  <c r="AM25"/>
  <c r="AN24"/>
  <c r="AM24"/>
  <c r="AN23"/>
  <c r="AM23"/>
  <c r="AM22"/>
  <c r="AE22"/>
  <c r="AM21"/>
  <c r="AE21"/>
  <c r="AC24" s="1"/>
  <c r="AM20"/>
  <c r="AN19"/>
  <c r="AM19"/>
  <c r="AE19"/>
  <c r="AC19"/>
  <c r="AN18"/>
  <c r="AM18"/>
  <c r="AC18"/>
  <c r="AE18" s="1"/>
  <c r="N18"/>
  <c r="N19" s="1"/>
  <c r="Q24" l="1"/>
  <c r="M21"/>
  <c r="V24"/>
  <c r="M64"/>
  <c r="M26"/>
  <c r="M31"/>
  <c r="M59"/>
  <c r="M15"/>
  <c r="M55"/>
  <c r="M38"/>
  <c r="M6"/>
  <c r="AN49"/>
  <c r="D8" i="19"/>
  <c r="AD24" i="32"/>
  <c r="M42"/>
  <c r="M69"/>
  <c r="Z24"/>
  <c r="A13" i="19"/>
  <c r="A15"/>
  <c r="A16" s="1"/>
  <c r="A17" s="1"/>
  <c r="A18" s="1"/>
  <c r="A19" s="1"/>
  <c r="A20" s="1"/>
  <c r="A21" s="1"/>
  <c r="AE23" i="32"/>
  <c r="W24"/>
  <c r="S24"/>
  <c r="X24"/>
  <c r="AB24"/>
  <c r="R24"/>
  <c r="AA24"/>
  <c r="T24"/>
  <c r="Y24"/>
  <c r="M75" l="1"/>
  <c r="C8" i="19" s="1"/>
  <c r="AE24" i="32"/>
  <c r="D9" i="19"/>
  <c r="B71" i="31"/>
  <c r="L65"/>
  <c r="M65" s="1"/>
  <c r="AH61"/>
  <c r="L60"/>
  <c r="M60" s="1"/>
  <c r="M55"/>
  <c r="M51"/>
  <c r="J49"/>
  <c r="AL45"/>
  <c r="AK45"/>
  <c r="AN45" s="1"/>
  <c r="AN44"/>
  <c r="M44"/>
  <c r="AN43"/>
  <c r="AN42"/>
  <c r="AN41"/>
  <c r="AN40"/>
  <c r="AN39"/>
  <c r="AN38"/>
  <c r="M38"/>
  <c r="AN37"/>
  <c r="AN36"/>
  <c r="AN35"/>
  <c r="AN34"/>
  <c r="M34"/>
  <c r="AN33"/>
  <c r="AN32"/>
  <c r="AB32"/>
  <c r="J32"/>
  <c r="AN31"/>
  <c r="AN30"/>
  <c r="M27"/>
  <c r="AK26"/>
  <c r="AM25"/>
  <c r="AN24"/>
  <c r="AM24"/>
  <c r="AD24"/>
  <c r="Z24"/>
  <c r="X24"/>
  <c r="AG24" s="1"/>
  <c r="W24"/>
  <c r="S24"/>
  <c r="R24"/>
  <c r="AE24" s="1"/>
  <c r="AN23"/>
  <c r="AM23"/>
  <c r="AD23"/>
  <c r="Z23"/>
  <c r="X23"/>
  <c r="W23"/>
  <c r="S23"/>
  <c r="R23"/>
  <c r="AE23" s="1"/>
  <c r="AF23" s="1"/>
  <c r="AM22"/>
  <c r="M22"/>
  <c r="AM21"/>
  <c r="AN20"/>
  <c r="AM20"/>
  <c r="AM19"/>
  <c r="AM18"/>
  <c r="AN17"/>
  <c r="AM17"/>
  <c r="M17"/>
  <c r="AN16"/>
  <c r="AM16"/>
  <c r="AN15"/>
  <c r="AM15"/>
  <c r="AN14"/>
  <c r="AM14"/>
  <c r="AM13"/>
  <c r="AE13"/>
  <c r="AM12"/>
  <c r="AE12"/>
  <c r="T15" s="1"/>
  <c r="M12"/>
  <c r="AM11"/>
  <c r="AN10"/>
  <c r="AM10"/>
  <c r="AE10"/>
  <c r="AC10"/>
  <c r="AN9"/>
  <c r="AM9"/>
  <c r="AL26" s="1"/>
  <c r="AE9"/>
  <c r="AC9"/>
  <c r="N9"/>
  <c r="N10" s="1"/>
  <c r="M6"/>
  <c r="M71" l="1"/>
  <c r="C9" i="19" s="1"/>
  <c r="Y15" i="31"/>
  <c r="AC15"/>
  <c r="Q15"/>
  <c r="V15"/>
  <c r="Z15"/>
  <c r="AD15"/>
  <c r="AG23"/>
  <c r="AH23" s="1"/>
  <c r="AE14"/>
  <c r="W15"/>
  <c r="R15"/>
  <c r="AA15"/>
  <c r="S15"/>
  <c r="X15"/>
  <c r="AB15"/>
  <c r="AE15" l="1"/>
  <c r="D16" i="19" l="1"/>
  <c r="B71" i="30"/>
  <c r="L65"/>
  <c r="M65" s="1"/>
  <c r="AH61"/>
  <c r="M60"/>
  <c r="M55"/>
  <c r="M51"/>
  <c r="J49"/>
  <c r="AL45"/>
  <c r="AN45" s="1"/>
  <c r="AK45"/>
  <c r="AN44"/>
  <c r="M44"/>
  <c r="AN43"/>
  <c r="AN42"/>
  <c r="AN41"/>
  <c r="AN40"/>
  <c r="AN39"/>
  <c r="AN38"/>
  <c r="M38"/>
  <c r="AN37"/>
  <c r="AN36"/>
  <c r="AN35"/>
  <c r="AN34"/>
  <c r="M34"/>
  <c r="AN33"/>
  <c r="AN32"/>
  <c r="J32"/>
  <c r="AN31"/>
  <c r="AN30"/>
  <c r="M27"/>
  <c r="AK26"/>
  <c r="AM25"/>
  <c r="AN24"/>
  <c r="AM24"/>
  <c r="AD24"/>
  <c r="Z24"/>
  <c r="X24"/>
  <c r="AG24" s="1"/>
  <c r="W24"/>
  <c r="S24"/>
  <c r="R24"/>
  <c r="AE24" s="1"/>
  <c r="AN23"/>
  <c r="AM23"/>
  <c r="AD23"/>
  <c r="Z23"/>
  <c r="X23"/>
  <c r="W23"/>
  <c r="S23"/>
  <c r="R23"/>
  <c r="AG23" s="1"/>
  <c r="AH23" s="1"/>
  <c r="AM22"/>
  <c r="M22"/>
  <c r="AM21"/>
  <c r="AN20"/>
  <c r="AM20"/>
  <c r="AM19"/>
  <c r="AM18"/>
  <c r="AN17"/>
  <c r="AM17"/>
  <c r="M17"/>
  <c r="AN16"/>
  <c r="AM16"/>
  <c r="AN15"/>
  <c r="AM15"/>
  <c r="AN14"/>
  <c r="AM14"/>
  <c r="AM13"/>
  <c r="AE13"/>
  <c r="AE14" s="1"/>
  <c r="AM12"/>
  <c r="AE12"/>
  <c r="AA15" s="1"/>
  <c r="M12"/>
  <c r="AM11"/>
  <c r="AN10"/>
  <c r="AM10"/>
  <c r="AE10"/>
  <c r="AC10"/>
  <c r="AN9"/>
  <c r="AM9"/>
  <c r="AL26" s="1"/>
  <c r="AE9"/>
  <c r="AC9"/>
  <c r="N9"/>
  <c r="N10" s="1"/>
  <c r="M6"/>
  <c r="M71" l="1"/>
  <c r="C16" i="19" s="1"/>
  <c r="W15" i="30"/>
  <c r="S15"/>
  <c r="X15"/>
  <c r="AB15"/>
  <c r="AE23"/>
  <c r="AF23" s="1"/>
  <c r="Y15"/>
  <c r="T15"/>
  <c r="AC15"/>
  <c r="Q15"/>
  <c r="V15"/>
  <c r="Z15"/>
  <c r="AD15"/>
  <c r="R15"/>
  <c r="AE15" l="1"/>
  <c r="E9" i="19" l="1"/>
  <c r="E16"/>
  <c r="D6"/>
  <c r="B64" i="29"/>
  <c r="M37" s="1"/>
  <c r="L58"/>
  <c r="M58" s="1"/>
  <c r="AH54"/>
  <c r="L53"/>
  <c r="M53" s="1"/>
  <c r="M44"/>
  <c r="J42"/>
  <c r="AL38"/>
  <c r="AN38" s="1"/>
  <c r="AK38"/>
  <c r="AN37"/>
  <c r="AN36"/>
  <c r="AN35"/>
  <c r="AN34"/>
  <c r="AN33"/>
  <c r="AN32"/>
  <c r="AN31"/>
  <c r="AN30"/>
  <c r="AN29"/>
  <c r="AN28"/>
  <c r="AN27"/>
  <c r="AK26"/>
  <c r="AM25"/>
  <c r="AN24"/>
  <c r="AM24"/>
  <c r="AD24"/>
  <c r="Z24"/>
  <c r="X24"/>
  <c r="AG24" s="1"/>
  <c r="W24"/>
  <c r="S24"/>
  <c r="R24"/>
  <c r="AE24" s="1"/>
  <c r="AN23"/>
  <c r="AM23"/>
  <c r="AD23"/>
  <c r="Z23"/>
  <c r="X23"/>
  <c r="W23"/>
  <c r="S23"/>
  <c r="R23"/>
  <c r="AE23" s="1"/>
  <c r="AF23" s="1"/>
  <c r="AM22"/>
  <c r="AM21"/>
  <c r="AN20"/>
  <c r="AM20"/>
  <c r="AM19"/>
  <c r="AM18"/>
  <c r="AN17"/>
  <c r="AM17"/>
  <c r="AN16"/>
  <c r="AM16"/>
  <c r="AN15"/>
  <c r="AM15"/>
  <c r="AD15"/>
  <c r="AC15"/>
  <c r="Z15"/>
  <c r="Y15"/>
  <c r="V15"/>
  <c r="T15"/>
  <c r="Q15"/>
  <c r="AN14"/>
  <c r="AM14"/>
  <c r="AM13"/>
  <c r="AE13"/>
  <c r="AE14" s="1"/>
  <c r="AM12"/>
  <c r="AE12"/>
  <c r="AB15" s="1"/>
  <c r="M12"/>
  <c r="AM11"/>
  <c r="AN10"/>
  <c r="AM10"/>
  <c r="AE10"/>
  <c r="AC10"/>
  <c r="AN9"/>
  <c r="AM9"/>
  <c r="AL26" s="1"/>
  <c r="AE9"/>
  <c r="AC9"/>
  <c r="N9"/>
  <c r="N10" s="1"/>
  <c r="M6"/>
  <c r="E8" i="19" l="1"/>
  <c r="R15" i="29"/>
  <c r="W15"/>
  <c r="AA15"/>
  <c r="M27"/>
  <c r="M48"/>
  <c r="AG23"/>
  <c r="AH23" s="1"/>
  <c r="S15"/>
  <c r="X15"/>
  <c r="AE15" s="1"/>
  <c r="M17"/>
  <c r="M64" s="1"/>
  <c r="C6" i="19" s="1"/>
  <c r="M22" i="29"/>
  <c r="M31"/>
  <c r="B71" i="28" l="1"/>
  <c r="L65"/>
  <c r="AH56"/>
  <c r="L60"/>
  <c r="J49"/>
  <c r="AL40"/>
  <c r="AK40"/>
  <c r="AN39"/>
  <c r="AN38"/>
  <c r="AN37"/>
  <c r="AN36"/>
  <c r="AN35"/>
  <c r="AN34"/>
  <c r="AN33"/>
  <c r="AN32"/>
  <c r="AN31"/>
  <c r="AN30"/>
  <c r="AN29"/>
  <c r="AN28"/>
  <c r="AN27"/>
  <c r="Y27"/>
  <c r="J32"/>
  <c r="AN21"/>
  <c r="AN20"/>
  <c r="AN16"/>
  <c r="AM16"/>
  <c r="AN15"/>
  <c r="AM15"/>
  <c r="AN14"/>
  <c r="AM14"/>
  <c r="AM13"/>
  <c r="AE13"/>
  <c r="AM12"/>
  <c r="AE12"/>
  <c r="AB15" s="1"/>
  <c r="AM11"/>
  <c r="AN10"/>
  <c r="AM10"/>
  <c r="AE10"/>
  <c r="AC10"/>
  <c r="AN9"/>
  <c r="AM9"/>
  <c r="AC9"/>
  <c r="AE9" s="1"/>
  <c r="N9"/>
  <c r="N10" s="1"/>
  <c r="M55" l="1"/>
  <c r="M12"/>
  <c r="M22"/>
  <c r="M17"/>
  <c r="AN40"/>
  <c r="AE14"/>
  <c r="M51"/>
  <c r="M65"/>
  <c r="M44"/>
  <c r="M38"/>
  <c r="M60"/>
  <c r="D17" i="19"/>
  <c r="M34" i="28"/>
  <c r="M6"/>
  <c r="T15"/>
  <c r="Y15"/>
  <c r="AC15"/>
  <c r="Q15"/>
  <c r="V15"/>
  <c r="Z15"/>
  <c r="AD15"/>
  <c r="W15"/>
  <c r="R15"/>
  <c r="AA15"/>
  <c r="S15"/>
  <c r="X15"/>
  <c r="M71" l="1"/>
  <c r="C17" i="19" s="1"/>
  <c r="AE15" i="28"/>
  <c r="D15" i="19" l="1"/>
  <c r="B71" i="27"/>
  <c r="L65"/>
  <c r="M65" s="1"/>
  <c r="AH61"/>
  <c r="L60"/>
  <c r="M60" s="1"/>
  <c r="M55"/>
  <c r="M51"/>
  <c r="J49"/>
  <c r="AL45"/>
  <c r="AK45"/>
  <c r="AN45" s="1"/>
  <c r="AN44"/>
  <c r="M44"/>
  <c r="AN43"/>
  <c r="AN42"/>
  <c r="AN41"/>
  <c r="AN40"/>
  <c r="AN39"/>
  <c r="AN38"/>
  <c r="M38"/>
  <c r="AN37"/>
  <c r="AN36"/>
  <c r="AN35"/>
  <c r="AN34"/>
  <c r="M34"/>
  <c r="AN33"/>
  <c r="AN32"/>
  <c r="AD32"/>
  <c r="AB32"/>
  <c r="AA32"/>
  <c r="Y32"/>
  <c r="T32"/>
  <c r="S32"/>
  <c r="J32"/>
  <c r="AN31"/>
  <c r="AD31"/>
  <c r="AN30"/>
  <c r="AD29"/>
  <c r="M27"/>
  <c r="AL26"/>
  <c r="AK26"/>
  <c r="AM25"/>
  <c r="AN24"/>
  <c r="AM24"/>
  <c r="AD24"/>
  <c r="Z24"/>
  <c r="X24"/>
  <c r="W24"/>
  <c r="S24"/>
  <c r="R24"/>
  <c r="AE24" s="1"/>
  <c r="AN23"/>
  <c r="AM23"/>
  <c r="AD23"/>
  <c r="Z23"/>
  <c r="Z32" s="1"/>
  <c r="X23"/>
  <c r="X32" s="1"/>
  <c r="W23"/>
  <c r="W32" s="1"/>
  <c r="S23"/>
  <c r="R23"/>
  <c r="AE23" s="1"/>
  <c r="AF23" s="1"/>
  <c r="AM22"/>
  <c r="M22"/>
  <c r="AM21"/>
  <c r="AN20"/>
  <c r="AM20"/>
  <c r="AM19"/>
  <c r="AM18"/>
  <c r="AN17"/>
  <c r="AM17"/>
  <c r="M17"/>
  <c r="AN16"/>
  <c r="AM16"/>
  <c r="AN15"/>
  <c r="AM15"/>
  <c r="AD15"/>
  <c r="AB15"/>
  <c r="Z15"/>
  <c r="X15"/>
  <c r="V15"/>
  <c r="S15"/>
  <c r="Q15"/>
  <c r="AN14"/>
  <c r="AM14"/>
  <c r="AM13"/>
  <c r="AE13"/>
  <c r="AE14" s="1"/>
  <c r="AM12"/>
  <c r="AE12"/>
  <c r="AA15" s="1"/>
  <c r="M12"/>
  <c r="AM11"/>
  <c r="AN10"/>
  <c r="AM10"/>
  <c r="AE10"/>
  <c r="AC10"/>
  <c r="AN9"/>
  <c r="AM9"/>
  <c r="AE9"/>
  <c r="AC9"/>
  <c r="N9"/>
  <c r="N10" s="1"/>
  <c r="M6"/>
  <c r="M71" l="1"/>
  <c r="C15" i="19" s="1"/>
  <c r="T15" i="27"/>
  <c r="AE15" s="1"/>
  <c r="Y15"/>
  <c r="AC15"/>
  <c r="AG24"/>
  <c r="R32"/>
  <c r="AG23"/>
  <c r="AH23" s="1"/>
  <c r="R15"/>
  <c r="W15"/>
  <c r="D10" i="19" l="1"/>
  <c r="B72" i="26"/>
  <c r="L66"/>
  <c r="M66" s="1"/>
  <c r="AH62"/>
  <c r="L61"/>
  <c r="M61" s="1"/>
  <c r="M56"/>
  <c r="M52"/>
  <c r="J50"/>
  <c r="AL46"/>
  <c r="AK46"/>
  <c r="AN46" s="1"/>
  <c r="AN45"/>
  <c r="M45"/>
  <c r="AN44"/>
  <c r="AN43"/>
  <c r="M39"/>
  <c r="AN42"/>
  <c r="AN41"/>
  <c r="AN40"/>
  <c r="AN39"/>
  <c r="AN38"/>
  <c r="AN37"/>
  <c r="AN36"/>
  <c r="AN35"/>
  <c r="M35"/>
  <c r="AN34"/>
  <c r="AN33"/>
  <c r="J33"/>
  <c r="AN32"/>
  <c r="AN31"/>
  <c r="M28"/>
  <c r="AK27"/>
  <c r="AM26"/>
  <c r="AN25"/>
  <c r="AM25"/>
  <c r="AD25"/>
  <c r="Z25"/>
  <c r="X25"/>
  <c r="W25"/>
  <c r="S25"/>
  <c r="R25"/>
  <c r="AG25" s="1"/>
  <c r="AN24"/>
  <c r="AM24"/>
  <c r="AD24"/>
  <c r="Z24"/>
  <c r="X24"/>
  <c r="W24"/>
  <c r="W33" s="1"/>
  <c r="S24"/>
  <c r="R24"/>
  <c r="AG24" s="1"/>
  <c r="AH24" s="1"/>
  <c r="AM23"/>
  <c r="M23"/>
  <c r="AM22"/>
  <c r="AN21"/>
  <c r="AM21"/>
  <c r="AN20"/>
  <c r="AM20"/>
  <c r="AM19"/>
  <c r="AM18"/>
  <c r="AN17"/>
  <c r="AM17"/>
  <c r="M17"/>
  <c r="AN16"/>
  <c r="AM16"/>
  <c r="AN15"/>
  <c r="AM15"/>
  <c r="AD15"/>
  <c r="AC15"/>
  <c r="AB15"/>
  <c r="Z15"/>
  <c r="Y15"/>
  <c r="X15"/>
  <c r="V15"/>
  <c r="T15"/>
  <c r="S15"/>
  <c r="Q15"/>
  <c r="AN14"/>
  <c r="AM14"/>
  <c r="AM13"/>
  <c r="AE13"/>
  <c r="AE14" s="1"/>
  <c r="AM12"/>
  <c r="AE12"/>
  <c r="AA15" s="1"/>
  <c r="M12"/>
  <c r="AM11"/>
  <c r="AN10"/>
  <c r="AM10"/>
  <c r="AE10"/>
  <c r="AC10"/>
  <c r="AN9"/>
  <c r="AM9"/>
  <c r="AL27" s="1"/>
  <c r="AE9"/>
  <c r="AC9"/>
  <c r="N9"/>
  <c r="N10" s="1"/>
  <c r="M6"/>
  <c r="D7" i="19"/>
  <c r="B71" i="25"/>
  <c r="L65"/>
  <c r="M65" s="1"/>
  <c r="AH61"/>
  <c r="L60"/>
  <c r="M60" s="1"/>
  <c r="M55"/>
  <c r="M51"/>
  <c r="J49"/>
  <c r="AL45"/>
  <c r="AN45" s="1"/>
  <c r="AK45"/>
  <c r="AN44"/>
  <c r="M44"/>
  <c r="AN43"/>
  <c r="AN42"/>
  <c r="AN41"/>
  <c r="AN40"/>
  <c r="AN39"/>
  <c r="AN38"/>
  <c r="M38"/>
  <c r="AN37"/>
  <c r="AN36"/>
  <c r="AN35"/>
  <c r="AN34"/>
  <c r="M34"/>
  <c r="AN33"/>
  <c r="AN32"/>
  <c r="J32"/>
  <c r="AN31"/>
  <c r="AB31"/>
  <c r="AA31"/>
  <c r="Y31"/>
  <c r="T31"/>
  <c r="AN30"/>
  <c r="AD29"/>
  <c r="M27"/>
  <c r="AK26"/>
  <c r="AM25"/>
  <c r="AN24"/>
  <c r="AM24"/>
  <c r="AD24"/>
  <c r="Z24"/>
  <c r="X24"/>
  <c r="AG24" s="1"/>
  <c r="W24"/>
  <c r="S24"/>
  <c r="AE24" s="1"/>
  <c r="R24"/>
  <c r="AN23"/>
  <c r="AM23"/>
  <c r="AD23"/>
  <c r="AD31" s="1"/>
  <c r="Z23"/>
  <c r="Z31" s="1"/>
  <c r="X23"/>
  <c r="X31" s="1"/>
  <c r="W23"/>
  <c r="W31" s="1"/>
  <c r="S23"/>
  <c r="S31" s="1"/>
  <c r="R23"/>
  <c r="R31" s="1"/>
  <c r="AM22"/>
  <c r="M22"/>
  <c r="AM21"/>
  <c r="AN20"/>
  <c r="AM20"/>
  <c r="AM19"/>
  <c r="AM18"/>
  <c r="AN17"/>
  <c r="AM17"/>
  <c r="M17"/>
  <c r="AN16"/>
  <c r="AM16"/>
  <c r="AN15"/>
  <c r="AM15"/>
  <c r="AN14"/>
  <c r="AM14"/>
  <c r="AM13"/>
  <c r="AE13"/>
  <c r="AE14" s="1"/>
  <c r="AM12"/>
  <c r="AE12"/>
  <c r="AB15" s="1"/>
  <c r="M12"/>
  <c r="AM11"/>
  <c r="AN10"/>
  <c r="AM10"/>
  <c r="AE10"/>
  <c r="AC10"/>
  <c r="AN9"/>
  <c r="AM9"/>
  <c r="AL26" s="1"/>
  <c r="AC9"/>
  <c r="AE9" s="1"/>
  <c r="N9"/>
  <c r="N10" s="1"/>
  <c r="M6"/>
  <c r="M71" l="1"/>
  <c r="C7" i="19" s="1"/>
  <c r="M72" i="26"/>
  <c r="C10" i="19" s="1"/>
  <c r="AE24" i="26"/>
  <c r="AF24" s="1"/>
  <c r="AE25"/>
  <c r="R15"/>
  <c r="AE15" s="1"/>
  <c r="W15"/>
  <c r="T15" i="25"/>
  <c r="Y15"/>
  <c r="AC15"/>
  <c r="AD30"/>
  <c r="Q15"/>
  <c r="V15"/>
  <c r="Z15"/>
  <c r="AD15"/>
  <c r="AG23"/>
  <c r="AH23" s="1"/>
  <c r="R15"/>
  <c r="W15"/>
  <c r="AA15"/>
  <c r="S15"/>
  <c r="X15"/>
  <c r="AE23"/>
  <c r="AF23" s="1"/>
  <c r="AE15" l="1"/>
  <c r="E6" i="19" l="1"/>
  <c r="E17"/>
  <c r="E15"/>
  <c r="E10"/>
  <c r="E7"/>
  <c r="D12"/>
  <c r="B77" i="24"/>
  <c r="M57" s="1"/>
  <c r="L71"/>
  <c r="M71" s="1"/>
  <c r="AH67"/>
  <c r="L66"/>
  <c r="M66" s="1"/>
  <c r="M61"/>
  <c r="J55"/>
  <c r="AL51"/>
  <c r="AN51" s="1"/>
  <c r="AK51"/>
  <c r="AN50"/>
  <c r="M50"/>
  <c r="AN49"/>
  <c r="AN48"/>
  <c r="AN47"/>
  <c r="AN46"/>
  <c r="AN45"/>
  <c r="AN44"/>
  <c r="M44"/>
  <c r="AN43"/>
  <c r="AN42"/>
  <c r="AN41"/>
  <c r="AN40"/>
  <c r="M40"/>
  <c r="AN39"/>
  <c r="AN38"/>
  <c r="AB38"/>
  <c r="AA38"/>
  <c r="Y38"/>
  <c r="T38"/>
  <c r="R38"/>
  <c r="J38"/>
  <c r="AN37"/>
  <c r="AN36"/>
  <c r="AD35"/>
  <c r="AD37" s="1"/>
  <c r="M33"/>
  <c r="AK32"/>
  <c r="AM31"/>
  <c r="AN30"/>
  <c r="AM30"/>
  <c r="AD30"/>
  <c r="Z30"/>
  <c r="X30"/>
  <c r="AG30" s="1"/>
  <c r="W30"/>
  <c r="S30"/>
  <c r="R30"/>
  <c r="AE30" s="1"/>
  <c r="AN29"/>
  <c r="AM29"/>
  <c r="AD29"/>
  <c r="AD38" s="1"/>
  <c r="Z29"/>
  <c r="Z38" s="1"/>
  <c r="X29"/>
  <c r="X38" s="1"/>
  <c r="W29"/>
  <c r="W38" s="1"/>
  <c r="S29"/>
  <c r="S38" s="1"/>
  <c r="R29"/>
  <c r="AE29" s="1"/>
  <c r="AF29" s="1"/>
  <c r="AM28"/>
  <c r="M28"/>
  <c r="AM27"/>
  <c r="AN26"/>
  <c r="AM26"/>
  <c r="AM25"/>
  <c r="AM24"/>
  <c r="AN23"/>
  <c r="AM23"/>
  <c r="M23"/>
  <c r="AN22"/>
  <c r="AM22"/>
  <c r="AN21"/>
  <c r="AM21"/>
  <c r="AC21"/>
  <c r="Y21"/>
  <c r="T21"/>
  <c r="AN20"/>
  <c r="AM20"/>
  <c r="AM19"/>
  <c r="AE19"/>
  <c r="AE20" s="1"/>
  <c r="AM18"/>
  <c r="AE18"/>
  <c r="AB21" s="1"/>
  <c r="M18"/>
  <c r="AM17"/>
  <c r="AN16"/>
  <c r="AM16"/>
  <c r="AE16"/>
  <c r="AC16"/>
  <c r="AN15"/>
  <c r="AM15"/>
  <c r="AL32" s="1"/>
  <c r="AE15"/>
  <c r="AC15"/>
  <c r="N15"/>
  <c r="N16" s="1"/>
  <c r="M12"/>
  <c r="K10"/>
  <c r="J10"/>
  <c r="M6"/>
  <c r="M77" l="1"/>
  <c r="C12" i="19" s="1"/>
  <c r="Q21" i="24"/>
  <c r="V21"/>
  <c r="Z21"/>
  <c r="AD21"/>
  <c r="AG29"/>
  <c r="AH29" s="1"/>
  <c r="R21"/>
  <c r="W21"/>
  <c r="AA21"/>
  <c r="S21"/>
  <c r="X21"/>
  <c r="AE21" l="1"/>
  <c r="B66" i="23" l="1"/>
  <c r="M29" s="1"/>
  <c r="L60"/>
  <c r="AH56"/>
  <c r="L55"/>
  <c r="J44"/>
  <c r="AL40"/>
  <c r="AK40"/>
  <c r="AN39"/>
  <c r="AN38"/>
  <c r="AN37"/>
  <c r="AN36"/>
  <c r="AN35"/>
  <c r="AN34"/>
  <c r="AN33"/>
  <c r="AN32"/>
  <c r="AN31"/>
  <c r="AN30"/>
  <c r="AN29"/>
  <c r="AN28"/>
  <c r="AN27"/>
  <c r="AB27"/>
  <c r="AA27"/>
  <c r="Y27"/>
  <c r="T27"/>
  <c r="J27"/>
  <c r="AN26"/>
  <c r="AN25"/>
  <c r="AD24"/>
  <c r="AK21"/>
  <c r="AM20"/>
  <c r="AN19"/>
  <c r="AM19"/>
  <c r="AD19"/>
  <c r="Z19"/>
  <c r="X19"/>
  <c r="W19"/>
  <c r="S19"/>
  <c r="R19"/>
  <c r="AN18"/>
  <c r="AM18"/>
  <c r="AD18"/>
  <c r="AE22" s="1"/>
  <c r="Z18"/>
  <c r="Z27" s="1"/>
  <c r="X18"/>
  <c r="X27" s="1"/>
  <c r="W18"/>
  <c r="W27" s="1"/>
  <c r="S18"/>
  <c r="S27" s="1"/>
  <c r="R18"/>
  <c r="AM17"/>
  <c r="AN16"/>
  <c r="AM16"/>
  <c r="AN15"/>
  <c r="AM15"/>
  <c r="AN14"/>
  <c r="AM14"/>
  <c r="AM13"/>
  <c r="AE13"/>
  <c r="AM12"/>
  <c r="AE12"/>
  <c r="T15" s="1"/>
  <c r="AM11"/>
  <c r="AN10"/>
  <c r="AM10"/>
  <c r="AE10"/>
  <c r="AC10"/>
  <c r="AN9"/>
  <c r="AM9"/>
  <c r="AL21" s="1"/>
  <c r="AE9"/>
  <c r="AC9"/>
  <c r="N9"/>
  <c r="N10" s="1"/>
  <c r="AE14" l="1"/>
  <c r="D14" i="19"/>
  <c r="M60" i="23"/>
  <c r="M46"/>
  <c r="M12"/>
  <c r="M17"/>
  <c r="AG19"/>
  <c r="AN40"/>
  <c r="AD26"/>
  <c r="M33"/>
  <c r="M22"/>
  <c r="M39"/>
  <c r="M55"/>
  <c r="M6"/>
  <c r="AE18"/>
  <c r="AE19"/>
  <c r="M50"/>
  <c r="Y15"/>
  <c r="AC15"/>
  <c r="Q15"/>
  <c r="V15"/>
  <c r="Z15"/>
  <c r="AD15"/>
  <c r="AG18"/>
  <c r="AH18" s="1"/>
  <c r="R27"/>
  <c r="W15"/>
  <c r="R15"/>
  <c r="AA15"/>
  <c r="AD27"/>
  <c r="S15"/>
  <c r="X15"/>
  <c r="AB15"/>
  <c r="M66" l="1"/>
  <c r="C14" i="19" s="1"/>
  <c r="AF18" i="23"/>
  <c r="AE15"/>
  <c r="B64" i="22" l="1"/>
  <c r="L58"/>
  <c r="AH54"/>
  <c r="L53"/>
  <c r="J42"/>
  <c r="AK38"/>
  <c r="AN37"/>
  <c r="AN36"/>
  <c r="AN35"/>
  <c r="AN34"/>
  <c r="AN33"/>
  <c r="AN32"/>
  <c r="AN31"/>
  <c r="AN30"/>
  <c r="AN29"/>
  <c r="AN28"/>
  <c r="AN27"/>
  <c r="AM21"/>
  <c r="AN20"/>
  <c r="AM20"/>
  <c r="AM19"/>
  <c r="AM18"/>
  <c r="AN17"/>
  <c r="AM17"/>
  <c r="AN16"/>
  <c r="AM16"/>
  <c r="AN15"/>
  <c r="AM15"/>
  <c r="X15"/>
  <c r="AN14"/>
  <c r="AM14"/>
  <c r="AM13"/>
  <c r="AE13"/>
  <c r="AM12"/>
  <c r="AE12"/>
  <c r="AC15" s="1"/>
  <c r="AM11"/>
  <c r="AN10"/>
  <c r="AM10"/>
  <c r="AE10"/>
  <c r="AC10"/>
  <c r="AN9"/>
  <c r="AM9"/>
  <c r="AL26" s="1"/>
  <c r="AL38" s="1"/>
  <c r="AC9"/>
  <c r="AE9" s="1"/>
  <c r="N9"/>
  <c r="N10" s="1"/>
  <c r="S15" l="1"/>
  <c r="AD15"/>
  <c r="Q15"/>
  <c r="AB15"/>
  <c r="V15"/>
  <c r="AE14"/>
  <c r="Z15"/>
  <c r="M44"/>
  <c r="D19" i="19"/>
  <c r="M58" i="22"/>
  <c r="M31"/>
  <c r="M53"/>
  <c r="M48"/>
  <c r="M12"/>
  <c r="M6"/>
  <c r="M27"/>
  <c r="M17"/>
  <c r="M37"/>
  <c r="AN38"/>
  <c r="R15"/>
  <c r="W15"/>
  <c r="AA15"/>
  <c r="T15"/>
  <c r="Y15"/>
  <c r="AE15" l="1"/>
  <c r="M64"/>
  <c r="C19" i="19" s="1"/>
  <c r="B64" i="21"/>
  <c r="M48" s="1"/>
  <c r="L58"/>
  <c r="M58" s="1"/>
  <c r="AH54"/>
  <c r="M53"/>
  <c r="M44"/>
  <c r="J42"/>
  <c r="AL38"/>
  <c r="AN38" s="1"/>
  <c r="AK38"/>
  <c r="AN37"/>
  <c r="M37"/>
  <c r="AN36"/>
  <c r="AN35"/>
  <c r="AN34"/>
  <c r="AN33"/>
  <c r="AN32"/>
  <c r="AN31"/>
  <c r="M31"/>
  <c r="AN30"/>
  <c r="AN29"/>
  <c r="AN28"/>
  <c r="AN27"/>
  <c r="M27"/>
  <c r="AK26"/>
  <c r="R26"/>
  <c r="AM25"/>
  <c r="AN24"/>
  <c r="AM24"/>
  <c r="AD24"/>
  <c r="Z24"/>
  <c r="X24"/>
  <c r="W24"/>
  <c r="S24"/>
  <c r="AN23"/>
  <c r="AM23"/>
  <c r="AD23"/>
  <c r="Z23"/>
  <c r="X23"/>
  <c r="W23"/>
  <c r="S23"/>
  <c r="AM22"/>
  <c r="M22"/>
  <c r="AM21"/>
  <c r="AN20"/>
  <c r="AM20"/>
  <c r="AM19"/>
  <c r="AM18"/>
  <c r="AN17"/>
  <c r="AM17"/>
  <c r="M17"/>
  <c r="AN16"/>
  <c r="AM16"/>
  <c r="AN15"/>
  <c r="AM15"/>
  <c r="AN14"/>
  <c r="AM14"/>
  <c r="AM13"/>
  <c r="AE13"/>
  <c r="AE14" s="1"/>
  <c r="AM12"/>
  <c r="AE12"/>
  <c r="AA15" s="1"/>
  <c r="M12"/>
  <c r="AM11"/>
  <c r="AN10"/>
  <c r="AM10"/>
  <c r="AE10"/>
  <c r="AC10"/>
  <c r="AN9"/>
  <c r="AM9"/>
  <c r="AL26" s="1"/>
  <c r="AC9"/>
  <c r="AE9" s="1"/>
  <c r="N9"/>
  <c r="N10" s="1"/>
  <c r="M6"/>
  <c r="B59" i="20"/>
  <c r="M48" s="1"/>
  <c r="AH49"/>
  <c r="J37"/>
  <c r="AL33"/>
  <c r="AK33"/>
  <c r="AN32"/>
  <c r="AN31"/>
  <c r="AN30"/>
  <c r="AN29"/>
  <c r="AN28"/>
  <c r="AN27"/>
  <c r="AN26"/>
  <c r="AN25"/>
  <c r="AN24"/>
  <c r="AN23"/>
  <c r="AN22"/>
  <c r="AK21"/>
  <c r="AM20"/>
  <c r="AN19"/>
  <c r="AM19"/>
  <c r="AD19"/>
  <c r="Z19"/>
  <c r="X19"/>
  <c r="W19"/>
  <c r="S19"/>
  <c r="R19"/>
  <c r="AN18"/>
  <c r="AM18"/>
  <c r="AD18"/>
  <c r="Z18"/>
  <c r="X18"/>
  <c r="W18"/>
  <c r="S18"/>
  <c r="R18"/>
  <c r="AM17"/>
  <c r="AN16"/>
  <c r="AM16"/>
  <c r="AN15"/>
  <c r="AM15"/>
  <c r="AN14"/>
  <c r="AM14"/>
  <c r="AM13"/>
  <c r="AE13"/>
  <c r="AM12"/>
  <c r="AE12"/>
  <c r="AC15" s="1"/>
  <c r="AM11"/>
  <c r="AN10"/>
  <c r="AM10"/>
  <c r="AE10"/>
  <c r="AC10"/>
  <c r="AN9"/>
  <c r="AM9"/>
  <c r="AL21" s="1"/>
  <c r="AC9"/>
  <c r="AE9" s="1"/>
  <c r="N9"/>
  <c r="N10" s="1"/>
  <c r="M64" i="21" l="1"/>
  <c r="C13" i="19" s="1"/>
  <c r="AD15" i="20"/>
  <c r="AN33"/>
  <c r="AE14"/>
  <c r="Q15"/>
  <c r="Q15" i="21"/>
  <c r="Z15"/>
  <c r="D13" i="19"/>
  <c r="S15" i="21"/>
  <c r="AB15"/>
  <c r="AE23"/>
  <c r="AG24"/>
  <c r="V15"/>
  <c r="AD15"/>
  <c r="X15"/>
  <c r="AG23"/>
  <c r="AH23" s="1"/>
  <c r="T15"/>
  <c r="Y15"/>
  <c r="AC15"/>
  <c r="AE24"/>
  <c r="AF23" s="1"/>
  <c r="R15"/>
  <c r="W15"/>
  <c r="M6" i="20"/>
  <c r="V15"/>
  <c r="M26"/>
  <c r="M43"/>
  <c r="Z15"/>
  <c r="AE18"/>
  <c r="AG19"/>
  <c r="M12"/>
  <c r="S15"/>
  <c r="M17"/>
  <c r="M22"/>
  <c r="D18" i="19"/>
  <c r="R15" i="20"/>
  <c r="W15"/>
  <c r="AA15"/>
  <c r="M39"/>
  <c r="M53"/>
  <c r="AG18"/>
  <c r="AH18" s="1"/>
  <c r="X15"/>
  <c r="AB15"/>
  <c r="AE19"/>
  <c r="T15"/>
  <c r="Y15"/>
  <c r="M32"/>
  <c r="M59" l="1"/>
  <c r="C18" i="19" s="1"/>
  <c r="AE15" i="21"/>
  <c r="AF18" i="20"/>
  <c r="AE15"/>
  <c r="E12" i="19" l="1"/>
  <c r="E14"/>
  <c r="E19"/>
  <c r="E13"/>
  <c r="E18"/>
  <c r="B37" i="18"/>
  <c r="M32" s="1"/>
  <c r="AH33"/>
  <c r="J21"/>
  <c r="AL17"/>
  <c r="AN17" s="1"/>
  <c r="AK17"/>
  <c r="AN16"/>
  <c r="M16"/>
  <c r="AN14"/>
  <c r="AN13"/>
  <c r="AN12"/>
  <c r="M12"/>
  <c r="AM11"/>
  <c r="AN10"/>
  <c r="AM10"/>
  <c r="AE10"/>
  <c r="AC10"/>
  <c r="AN9"/>
  <c r="AM9"/>
  <c r="AE9"/>
  <c r="AC9"/>
  <c r="N9"/>
  <c r="N10" s="1"/>
  <c r="M6"/>
  <c r="M23" l="1"/>
  <c r="M37" s="1"/>
  <c r="C20" i="19" s="1"/>
  <c r="M27" i="18"/>
  <c r="D20" i="19"/>
  <c r="E20" l="1"/>
  <c r="B48" i="17"/>
  <c r="M38" s="1"/>
  <c r="AH44"/>
  <c r="J32"/>
  <c r="AL28"/>
  <c r="AN28" s="1"/>
  <c r="AK28"/>
  <c r="AN27"/>
  <c r="M27"/>
  <c r="AN26"/>
  <c r="AN25"/>
  <c r="AN24"/>
  <c r="AN23"/>
  <c r="AN22"/>
  <c r="AN21"/>
  <c r="M21"/>
  <c r="AN20"/>
  <c r="AN19"/>
  <c r="AN18"/>
  <c r="AN17"/>
  <c r="M17"/>
  <c r="AM16"/>
  <c r="AN15"/>
  <c r="AM15"/>
  <c r="AM14"/>
  <c r="AM13"/>
  <c r="AN12"/>
  <c r="AM12"/>
  <c r="M12"/>
  <c r="AM11"/>
  <c r="AN10"/>
  <c r="AM10"/>
  <c r="AE10"/>
  <c r="AC10"/>
  <c r="N10"/>
  <c r="AN9"/>
  <c r="AM9"/>
  <c r="AC9"/>
  <c r="AE9" s="1"/>
  <c r="N9"/>
  <c r="M6"/>
  <c r="M34" l="1"/>
  <c r="M43"/>
  <c r="D21" i="19"/>
  <c r="B66" i="16"/>
  <c r="D11" i="19" s="1"/>
  <c r="AH56" i="16"/>
  <c r="J44"/>
  <c r="AL40"/>
  <c r="AK40"/>
  <c r="AN40" s="1"/>
  <c r="AN39"/>
  <c r="AN38"/>
  <c r="AN37"/>
  <c r="AN36"/>
  <c r="AN35"/>
  <c r="AN34"/>
  <c r="AN33"/>
  <c r="AB33"/>
  <c r="AA33"/>
  <c r="Y33"/>
  <c r="T33"/>
  <c r="J33"/>
  <c r="AN32"/>
  <c r="AN31"/>
  <c r="AD30"/>
  <c r="AD32" s="1"/>
  <c r="AK27"/>
  <c r="AM26"/>
  <c r="AM25"/>
  <c r="AN24"/>
  <c r="AM24"/>
  <c r="AD24"/>
  <c r="Z24"/>
  <c r="X24"/>
  <c r="W24"/>
  <c r="S24"/>
  <c r="R24"/>
  <c r="AN23"/>
  <c r="AM23"/>
  <c r="AD23"/>
  <c r="AD33" s="1"/>
  <c r="Z23"/>
  <c r="Z33" s="1"/>
  <c r="X23"/>
  <c r="X33" s="1"/>
  <c r="W23"/>
  <c r="W33" s="1"/>
  <c r="S23"/>
  <c r="S33" s="1"/>
  <c r="R23"/>
  <c r="R33" s="1"/>
  <c r="AM22"/>
  <c r="M22"/>
  <c r="AM21"/>
  <c r="AN20"/>
  <c r="AM20"/>
  <c r="AM19"/>
  <c r="AM18"/>
  <c r="AN17"/>
  <c r="AM17"/>
  <c r="M17"/>
  <c r="AN16"/>
  <c r="AM16"/>
  <c r="AN15"/>
  <c r="AM15"/>
  <c r="Y15"/>
  <c r="T15"/>
  <c r="AN14"/>
  <c r="AM14"/>
  <c r="AM13"/>
  <c r="AE13"/>
  <c r="AE14" s="1"/>
  <c r="AM12"/>
  <c r="AE12"/>
  <c r="AA15" s="1"/>
  <c r="AM11"/>
  <c r="AN10"/>
  <c r="AM10"/>
  <c r="AE10"/>
  <c r="AC10"/>
  <c r="AN9"/>
  <c r="AM9"/>
  <c r="AL27" s="1"/>
  <c r="AC9"/>
  <c r="AE9" s="1"/>
  <c r="N9"/>
  <c r="N10" s="1"/>
  <c r="M48" i="17" l="1"/>
  <c r="C21" i="19" s="1"/>
  <c r="E21" s="1"/>
  <c r="AG24" i="16"/>
  <c r="M28"/>
  <c r="M35"/>
  <c r="M55"/>
  <c r="M50"/>
  <c r="AE24"/>
  <c r="M39"/>
  <c r="M12"/>
  <c r="M6"/>
  <c r="AC15"/>
  <c r="M46"/>
  <c r="M60"/>
  <c r="R15"/>
  <c r="W15"/>
  <c r="S15"/>
  <c r="X15"/>
  <c r="AB15"/>
  <c r="AE23"/>
  <c r="AF23" s="1"/>
  <c r="Q15"/>
  <c r="V15"/>
  <c r="Z15"/>
  <c r="AD15"/>
  <c r="AG23"/>
  <c r="AH23" s="1"/>
  <c r="M66" l="1"/>
  <c r="C11" i="19" s="1"/>
  <c r="E11" s="1"/>
  <c r="AE15" i="16"/>
  <c r="J61" i="15" l="1"/>
  <c r="J44"/>
  <c r="AE24" l="1"/>
  <c r="AE25" s="1"/>
  <c r="AE23"/>
  <c r="AH73" l="1"/>
  <c r="AD34"/>
  <c r="Z34"/>
  <c r="X34"/>
  <c r="W34"/>
  <c r="S34"/>
  <c r="S35"/>
  <c r="R35"/>
  <c r="R34"/>
  <c r="Z35"/>
  <c r="X35"/>
  <c r="W35"/>
  <c r="B85"/>
  <c r="AE35" l="1"/>
  <c r="M78"/>
  <c r="M56"/>
  <c r="M33"/>
  <c r="M6"/>
  <c r="M63"/>
  <c r="M39"/>
  <c r="M17"/>
  <c r="M67"/>
  <c r="M46"/>
  <c r="M23"/>
  <c r="M72"/>
  <c r="M50"/>
  <c r="M28"/>
  <c r="AE34"/>
  <c r="AF34" l="1"/>
  <c r="M85"/>
  <c r="L86" i="14"/>
  <c r="K11"/>
  <c r="L9"/>
  <c r="L6" l="1"/>
  <c r="J7"/>
  <c r="J91"/>
  <c r="J45" l="1"/>
  <c r="J46"/>
  <c r="L79" l="1"/>
  <c r="J33" l="1"/>
  <c r="J27"/>
  <c r="J39"/>
  <c r="J39" i="13"/>
  <c r="B94" i="14" l="1"/>
  <c r="M86" s="1"/>
  <c r="J84"/>
  <c r="L73"/>
  <c r="L68"/>
  <c r="L60"/>
  <c r="J58"/>
  <c r="L49"/>
  <c r="J47"/>
  <c r="L41"/>
  <c r="L29"/>
  <c r="L24"/>
  <c r="J15"/>
  <c r="K15"/>
  <c r="M49" l="1"/>
  <c r="M60"/>
  <c r="M68"/>
  <c r="M17"/>
  <c r="M54"/>
  <c r="M35"/>
  <c r="M73"/>
  <c r="M24"/>
  <c r="M6"/>
  <c r="M41"/>
  <c r="M29"/>
  <c r="M9"/>
  <c r="M79"/>
  <c r="J91" i="13"/>
  <c r="L86"/>
  <c r="J46"/>
  <c r="J47" s="1"/>
  <c r="B94"/>
  <c r="M54" s="1"/>
  <c r="L79"/>
  <c r="J84" s="1"/>
  <c r="L73"/>
  <c r="L68"/>
  <c r="L60"/>
  <c r="J58"/>
  <c r="L49"/>
  <c r="L41"/>
  <c r="J33"/>
  <c r="L29"/>
  <c r="J27"/>
  <c r="L24"/>
  <c r="J22"/>
  <c r="L17"/>
  <c r="J15"/>
  <c r="K11"/>
  <c r="K15" s="1"/>
  <c r="L9"/>
  <c r="J7"/>
  <c r="L6"/>
  <c r="K11" i="12"/>
  <c r="M9" i="13" l="1"/>
  <c r="M35"/>
  <c r="M49"/>
  <c r="M73"/>
  <c r="M17"/>
  <c r="M86"/>
  <c r="M24"/>
  <c r="M41"/>
  <c r="M60"/>
  <c r="M93" i="14"/>
  <c r="M6" i="13"/>
  <c r="M29"/>
  <c r="M68"/>
  <c r="M79"/>
  <c r="J7" i="12"/>
  <c r="L6"/>
  <c r="J39"/>
  <c r="J46"/>
  <c r="J47" s="1"/>
  <c r="M93" i="13" l="1"/>
  <c r="L86" i="12"/>
  <c r="L79"/>
  <c r="J84" s="1"/>
  <c r="B94"/>
  <c r="M54" s="1"/>
  <c r="L73"/>
  <c r="L68"/>
  <c r="L60"/>
  <c r="J58"/>
  <c r="L49"/>
  <c r="L41"/>
  <c r="L29"/>
  <c r="L24"/>
  <c r="J22"/>
  <c r="L17"/>
  <c r="K15"/>
  <c r="J15"/>
  <c r="L79" i="11"/>
  <c r="J84"/>
  <c r="M17" i="12" l="1"/>
  <c r="M9"/>
  <c r="M68"/>
  <c r="M73"/>
  <c r="M6"/>
  <c r="M60"/>
  <c r="M35"/>
  <c r="M79"/>
  <c r="M49"/>
  <c r="M86"/>
  <c r="M24"/>
  <c r="M29"/>
  <c r="M41"/>
  <c r="B94" i="11"/>
  <c r="M86" s="1"/>
  <c r="L73"/>
  <c r="L68"/>
  <c r="L60"/>
  <c r="J58"/>
  <c r="L49"/>
  <c r="L41"/>
  <c r="L29"/>
  <c r="L24"/>
  <c r="J22"/>
  <c r="L17"/>
  <c r="K15"/>
  <c r="J15"/>
  <c r="M17" l="1"/>
  <c r="M60"/>
  <c r="M68"/>
  <c r="M24"/>
  <c r="M41"/>
  <c r="M29"/>
  <c r="M9"/>
  <c r="M54"/>
  <c r="M93" i="12"/>
  <c r="M73" i="11"/>
  <c r="M6"/>
  <c r="M35"/>
  <c r="M79"/>
  <c r="M49"/>
  <c r="M93" l="1"/>
  <c r="B94" i="10"/>
  <c r="M86" s="1"/>
  <c r="L79"/>
  <c r="L73"/>
  <c r="L68"/>
  <c r="L60"/>
  <c r="J58"/>
  <c r="J57"/>
  <c r="J56"/>
  <c r="M54"/>
  <c r="L49"/>
  <c r="L41"/>
  <c r="J33"/>
  <c r="L29"/>
  <c r="J27"/>
  <c r="L24"/>
  <c r="J22"/>
  <c r="L17"/>
  <c r="K15"/>
  <c r="J15"/>
  <c r="L9"/>
  <c r="M9" s="1"/>
  <c r="J7"/>
  <c r="L6"/>
  <c r="M6" s="1"/>
  <c r="L79" i="1"/>
  <c r="L6"/>
  <c r="J7"/>
  <c r="J84"/>
  <c r="L86"/>
  <c r="J58"/>
  <c r="L73"/>
  <c r="L68"/>
  <c r="L60"/>
  <c r="L49"/>
  <c r="L41"/>
  <c r="L29"/>
  <c r="J22"/>
  <c r="L17"/>
  <c r="L9"/>
  <c r="B94"/>
  <c r="M54" s="1"/>
  <c r="J15"/>
  <c r="K15"/>
  <c r="L24"/>
  <c r="M24" i="10" l="1"/>
  <c r="M35"/>
  <c r="M29"/>
  <c r="M60"/>
  <c r="M68"/>
  <c r="M41"/>
  <c r="M73"/>
  <c r="M24" i="1"/>
  <c r="M17" i="10"/>
  <c r="M49"/>
  <c r="M79"/>
  <c r="M6" i="1"/>
  <c r="M9"/>
  <c r="M17"/>
  <c r="M29"/>
  <c r="M41"/>
  <c r="M49"/>
  <c r="M60"/>
  <c r="M68"/>
  <c r="M73"/>
  <c r="M86"/>
  <c r="M79"/>
  <c r="M35"/>
  <c r="M93" i="10" l="1"/>
  <c r="M93" i="1"/>
  <c r="J91" i="12"/>
</calcChain>
</file>

<file path=xl/comments1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>
  <authors>
    <author>Dear</author>
  </authors>
  <commentList>
    <comment ref="V19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Dear</author>
  </authors>
  <commentList>
    <comment ref="V16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Dear</author>
  </authors>
  <commentList>
    <comment ref="V10" authorId="0">
      <text>
        <r>
          <rPr>
            <sz val="16"/>
            <color indexed="81"/>
            <rFont val="Tahoma"/>
            <family val="2"/>
          </rPr>
          <t>ปัญหาที่ดิน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<sst xmlns="http://schemas.openxmlformats.org/spreadsheetml/2006/main" count="4484" uniqueCount="377">
  <si>
    <t xml:space="preserve">    รายงานผลการปฏิบัติราชการตามตัวชี้วัดตามคำรับรองการปฏิบัติราชการ</t>
  </si>
  <si>
    <t>ตัวชี้วัด</t>
  </si>
  <si>
    <t>น้ำหนัก</t>
  </si>
  <si>
    <t>เป้าหมาย / เกณฑ์การให้คะแนน</t>
  </si>
  <si>
    <t>ผลการดำเนินงาน</t>
  </si>
  <si>
    <t>ค่าคะแนนที่ได้</t>
  </si>
  <si>
    <t>ค่าคะแนนเฉลี่ย</t>
  </si>
  <si>
    <t>ผลการปฏิบัติราชการ</t>
  </si>
  <si>
    <t>(%)</t>
  </si>
  <si>
    <t>ถ่วงน้ำหนัก</t>
  </si>
  <si>
    <t xml:space="preserve">สพญ-01 ปริมาณน้ำเก็บกักที่เพิ่มขึ้น </t>
  </si>
  <si>
    <t>-</t>
  </si>
  <si>
    <t>(ล้าน ลบ.ม.)</t>
  </si>
  <si>
    <t>สพญ-02 พื้นที่ชลประทานที่เพิ่มขึ้น</t>
  </si>
  <si>
    <t>โครงการ</t>
  </si>
  <si>
    <t>พื้นที่ ชป.ที่เพิ่มขึ้น (ไร่)</t>
  </si>
  <si>
    <t>(ไร่)</t>
  </si>
  <si>
    <t>แผนงาน</t>
  </si>
  <si>
    <t>ผลงาน</t>
  </si>
  <si>
    <t>โครงการกิ่วคอหมา</t>
  </si>
  <si>
    <t>รวม</t>
  </si>
  <si>
    <t>ก่อสร้างอาคารชลประทาน</t>
  </si>
  <si>
    <t>สพญ-05 ร้อยละของโครงการที่</t>
  </si>
  <si>
    <t>สามารถเตรียมความพร้อมในการ</t>
  </si>
  <si>
    <t>ก่อสร้างเสร็จตามแผน</t>
  </si>
  <si>
    <t>สพญ-06 ร้อยละของงานจัดหาที่ดิน</t>
  </si>
  <si>
    <t>ที่แล้วเสร็จตามแผน</t>
  </si>
  <si>
    <t>สพญ-07 ร้อยละของกิจกรรมการ</t>
  </si>
  <si>
    <t>จัดมวลชนสัมพันธ์ในระยะระหว่าง</t>
  </si>
  <si>
    <t>1.00-</t>
  </si>
  <si>
    <t>1.51 -</t>
  </si>
  <si>
    <t>2.01-</t>
  </si>
  <si>
    <t>2.51-</t>
  </si>
  <si>
    <t>3.01-</t>
  </si>
  <si>
    <t>ล้านบาท</t>
  </si>
  <si>
    <t>คิดเป็น</t>
  </si>
  <si>
    <t>สำนัก/กอง</t>
  </si>
  <si>
    <t xml:space="preserve"> ผอป. 3-1/2556</t>
  </si>
  <si>
    <t>ไร่</t>
  </si>
  <si>
    <t xml:space="preserve"> ไร่</t>
  </si>
  <si>
    <t xml:space="preserve"> จังหวัดชลบุรี </t>
  </si>
  <si>
    <t>โครงการระบบส่งน้ำ</t>
  </si>
  <si>
    <t>ประตูระบายน้ำ</t>
  </si>
  <si>
    <t>บ้านหนองบึง</t>
  </si>
  <si>
    <t>ผู้รับบริการภายใน</t>
  </si>
  <si>
    <t>สำนักพัฒนาแหล่งน้ำขนาดใหญ่  ปีงบประมาณ พ.ศ.2556</t>
  </si>
  <si>
    <t xml:space="preserve"> สำนักพัฒนาแหล่งน้ำขนาดใหญ่ ได้ส่งแบบสอบถาม</t>
  </si>
  <si>
    <t xml:space="preserve"> ให้สำนักต่างๆในส่วนกลางที่มีการติดต่อประสานงาน </t>
  </si>
  <si>
    <t xml:space="preserve"> และสำนักชลประทานที่รับมอบโครงการก่อสร้าง</t>
  </si>
  <si>
    <t xml:space="preserve"> ไปดำเนินการส่งน้ำ-บำรุงรักษาต่อ </t>
  </si>
  <si>
    <t xml:space="preserve"> ระดับความพึงพอใจของผู้รับบริการ</t>
  </si>
  <si>
    <t>%</t>
  </si>
  <si>
    <t>สพญ-03 ระดับความพึงพอใจของ</t>
  </si>
  <si>
    <t>สพญ-04 ร้อยละความสำเร็จในการ</t>
  </si>
  <si>
    <t xml:space="preserve">ค่าเฉลี่ย </t>
  </si>
  <si>
    <t xml:space="preserve"> ของสำนักงานก่อสร้าง ๑-๑๔ ประจำปีงบประมาณ พ.ศ. ๒๕๕6 </t>
  </si>
  <si>
    <t xml:space="preserve">ผลงานสะสม </t>
  </si>
  <si>
    <t xml:space="preserve"> โครงการที่สามารถเตรียมความพร้อมในการก่อสร้าง</t>
  </si>
  <si>
    <t xml:space="preserve"> เสร็จตามแผนงาน คำนวณจากผลการเบิกจ่ายงบประมาณ</t>
  </si>
  <si>
    <t xml:space="preserve"> ประจำปีงบประมาณ พ.ศ. ๒๕๕6</t>
  </si>
  <si>
    <t>ก่อสร้าง ที่ดำเนินการได้ตามแผน</t>
  </si>
  <si>
    <t>ครั้ง</t>
  </si>
  <si>
    <t xml:space="preserve"> ผลการจัดกิจกรรมมวลชนสัมพันธ์ของสำนักงานก่อสร้าง1 - 14</t>
  </si>
  <si>
    <t xml:space="preserve"> คำนวณจากจำนวนครั้งของผลการจัดกิจกรรมสะสม เทียบกับ</t>
  </si>
  <si>
    <t xml:space="preserve"> จำนวนครั้งของแผนการจัดกิจกรรมมวลชนสัมพันธ์</t>
  </si>
  <si>
    <t xml:space="preserve"> ประจำปีงบประมาณพ.ศ.๒๕๕6</t>
  </si>
  <si>
    <t>แผนการจัดกิจกรรม</t>
  </si>
  <si>
    <t>ผลการจัดกิจกรรม</t>
  </si>
  <si>
    <t>สพญ-08 ร้อยละของการจัดทำโครงการ</t>
  </si>
  <si>
    <t>วิจัยและพัฒนาที่แล้วเสร็จตามแผนงาน</t>
  </si>
  <si>
    <t xml:space="preserve">ก่อน </t>
  </si>
  <si>
    <t>15 กย</t>
  </si>
  <si>
    <t>1 กย.</t>
  </si>
  <si>
    <t xml:space="preserve"> ผลงานจัดหาที่ดินที่แล้วเสร็จของสำนักงานก่อสร้าง 1 - 14</t>
  </si>
  <si>
    <t xml:space="preserve"> คำนวณจาก จำนวนเงินที่ได้รับอนุมัติตามบัญชีขออนุมัติจ่ายเงิน</t>
  </si>
  <si>
    <t xml:space="preserve"> ค่าทดแทนทรัพย์สิน เทียบกับ จำนวนเงินงบประมาณค่าทดแทน</t>
  </si>
  <si>
    <t xml:space="preserve"> ทรัพย์สินที่ได้รับจัดสรร ประจำปีงบประมาณ พ.ศ. ๒๕๕6</t>
  </si>
  <si>
    <t xml:space="preserve"> ค่าเตรียมความพร้อม ของสำนักงานก่อสร้าง ๑-๑๔ </t>
  </si>
  <si>
    <t xml:space="preserve"> ผลงานโครงการวิจัยและพัฒนา สำนักพัฒนาแหล่งน้ำขนาดใหญ่</t>
  </si>
  <si>
    <t xml:space="preserve"> คำนวณจากผลการปรับปรุงกระบวนงานพัฒนาแหล่งน้ำ  </t>
  </si>
  <si>
    <t xml:space="preserve"> ประจำปีงบประมาณ พ.ศ.2556</t>
  </si>
  <si>
    <t xml:space="preserve">คิดเป็นผลงานสะสม </t>
  </si>
  <si>
    <t xml:space="preserve"> ผลงานก่อสร้างของหน่วยงานในสำนักพัฒนาแหล่งน้ำขนาดใหญ่</t>
  </si>
  <si>
    <t>คำนวณจากความสำเร็จของผลงานเมื่อเทียบกับแผนงานก่อสร้าง</t>
  </si>
  <si>
    <t>สพญ-09 ร้อยละของอัตราการเบิกจ่าย</t>
  </si>
  <si>
    <t xml:space="preserve">งบประมาณรายจ่ายลงทุน </t>
  </si>
  <si>
    <t>ผลการเบิกจ่าย</t>
  </si>
  <si>
    <t xml:space="preserve">ได้รับจัดสรรงบลงทุน </t>
  </si>
  <si>
    <t xml:space="preserve">คิดเป็นผลสะสม </t>
  </si>
  <si>
    <t>สพญ-10 ร้อยละเฉลี่ยของข้าราชการ</t>
  </si>
  <si>
    <t>สำนักที่ผ่านการประเมินสมรรถนะ</t>
  </si>
  <si>
    <t>ในระดับที่องค์กร คาดหวัง</t>
  </si>
  <si>
    <t xml:space="preserve"> คำนวณผลจากจำนวนข้าราชการของหน่วยงานภายในสำนัก</t>
  </si>
  <si>
    <t xml:space="preserve"> พัฒนาแหล่งน้ำขนาดใหญ่ ที่มีผลการประเมินสมรรถนะเท่ากับ</t>
  </si>
  <si>
    <t xml:space="preserve"> หรือมากกว่าระดับที่องค์กรคาดหวัง เทียบกับจำนวนข้าราชการ</t>
  </si>
  <si>
    <t xml:space="preserve"> ที่มีการประเมิน</t>
  </si>
  <si>
    <t>คน</t>
  </si>
  <si>
    <t>จำนวนที่ประเมิน</t>
  </si>
  <si>
    <t>จำนวนที่ผ่านเกณฑ์</t>
  </si>
  <si>
    <t xml:space="preserve"> ผลการเบิกจ่ายงบประมาณรายจ่ายงบลงทุน ของหน่วยงานใน</t>
  </si>
  <si>
    <t xml:space="preserve"> สำนักพัฒนาแหล่งน้ำขนาดใหญ่ ประจำปีงบประมาณ พ.ศ. ๒๕๕6</t>
  </si>
  <si>
    <t>สพญ-11 ร้อยละของระดับความพึงพอใจ</t>
  </si>
  <si>
    <t>ของบุคลากรต่อการปฏิบัติงาน</t>
  </si>
  <si>
    <t xml:space="preserve"> สำนักบริหารงานบุคคลสำรวจความพึงพอใจของบุคลากร</t>
  </si>
  <si>
    <t xml:space="preserve"> ต่อการปฎิบัติงาน  ประกอบด้วยมิติ ด้านการทำงาน</t>
  </si>
  <si>
    <t xml:space="preserve"> มิติด้านสังคม  มิติด้านส่วนตัว และมิติด้านเศษฐกิจ</t>
  </si>
  <si>
    <t>สพญ-12 ค่าเฉลี่ยคะแนนการตรวจ</t>
  </si>
  <si>
    <t>ประเมินการจัดการความรู้ (KMA)</t>
  </si>
  <si>
    <t xml:space="preserve"> คะแนนการตรวจประเมินการจัดการความรู้ (KMA)  </t>
  </si>
  <si>
    <t xml:space="preserve"> ของสำนัก/กอง หมวด 1-หมวด 6  โดยการตรวจ</t>
  </si>
  <si>
    <t xml:space="preserve"> ประเมินจากหลักฐานที่แสดงบนเว็บคลังความรู้</t>
  </si>
  <si>
    <t xml:space="preserve"> ของสำนัก/กอง ประจำปีงบประมาณ พ.ศ. ๒๕๕6</t>
  </si>
  <si>
    <t>ผลการตรวจประเมิน</t>
  </si>
  <si>
    <t xml:space="preserve"> ผลความพึงพอใจ</t>
  </si>
  <si>
    <t>ผลระดับคะแนน</t>
  </si>
  <si>
    <t>สพญ-14 ร้อยละของการบันทึกข้อมูล</t>
  </si>
  <si>
    <t>ในระบบติดตาม Online</t>
  </si>
  <si>
    <t xml:space="preserve"> วัดความครบถ้วนในการบันทึกข้อมูล ของสำนักงานก่อสร้าง 1-14 </t>
  </si>
  <si>
    <t xml:space="preserve"> ประกอบด้วย การบันทึกข้อมูลทั่วไป กระบวนการจัดซื้อจัดจ้าง </t>
  </si>
  <si>
    <t xml:space="preserve"> ปัญหาอุปสรรค การเบิกจ่ายงบประมาณ แผน/ผลการปฏิบัติงาน </t>
  </si>
  <si>
    <t xml:space="preserve"> และการบันทึกรูปภาพก่อน ระหว่าง และหลังงานก่อสร้างแล้วเสร็จ </t>
  </si>
  <si>
    <t xml:space="preserve"> โดยวัดจากจำนวนช่องที่บันทึก เทียบกับ ช่องรายการทั้งหมด</t>
  </si>
  <si>
    <t xml:space="preserve"> ผลการวัด</t>
  </si>
  <si>
    <t xml:space="preserve"> วัดความครบถ้วนในการจัดทำเว็บไซต์ ของหน่วยงานภายใน</t>
  </si>
  <si>
    <t xml:space="preserve"> สำนักพัฒนาแหล่งน้ำขนาดใหญ่ตามเกณฑ์การจัดทำเว็บไซต์</t>
  </si>
  <si>
    <t xml:space="preserve"> กำหนดโดยศูนย์เทคโนโลยี่สารสนเทศและการสื่อสาร</t>
  </si>
  <si>
    <t xml:space="preserve"> โดยวัดจากจำนวนฐานข้อมูลที่จัดทำ เทียบกับจำนวนข้อมูล</t>
  </si>
  <si>
    <t xml:space="preserve"> ตามเกณฑ์การจัดทำเว็บไซต์</t>
  </si>
  <si>
    <t xml:space="preserve"> ผลการดำเนินงาน โครงการอ่างเก็บน้ำคลองหลวง </t>
  </si>
  <si>
    <t xml:space="preserve">                                                                                                                       ค่าคะแนนเฉลี่ยถ่วงน้ำหนักรวม</t>
  </si>
  <si>
    <r>
      <rPr>
        <b/>
        <sz val="18"/>
        <color indexed="12"/>
        <rFont val="TH SarabunIT๙"/>
        <family val="2"/>
      </rPr>
      <t xml:space="preserve">รอบระยะเวลา  7  เดือน  ๑ ตุลาคม ๒๕๕5  ถึง  ๓0 เมษายน ๒๕๕6  </t>
    </r>
    <r>
      <rPr>
        <b/>
        <sz val="18"/>
        <rFont val="TH SarabunIT๙"/>
        <family val="2"/>
      </rPr>
      <t xml:space="preserve">                                                                                                </t>
    </r>
  </si>
  <si>
    <r>
      <rPr>
        <b/>
        <sz val="18"/>
        <color indexed="12"/>
        <rFont val="TH SarabunIT๙"/>
        <family val="2"/>
      </rPr>
      <t xml:space="preserve">รอบระยะเวลา  6  เดือน  ๑ ตุลาคม ๒๕๕5  ถึง  ๓1 มีนาคม ๒๕๕6  </t>
    </r>
    <r>
      <rPr>
        <b/>
        <sz val="18"/>
        <rFont val="TH SarabunIT๙"/>
        <family val="2"/>
      </rPr>
      <t xml:space="preserve">                                                                                                </t>
    </r>
  </si>
  <si>
    <t>สพญ-13 คุณภาพเว็บไซต์ของ</t>
  </si>
  <si>
    <r>
      <rPr>
        <b/>
        <sz val="18"/>
        <color indexed="12"/>
        <rFont val="TH SarabunIT๙"/>
        <family val="2"/>
      </rPr>
      <t xml:space="preserve">รอบระยะเวลา  8  เดือน  ๑ ตุลาคม ๒๕๕5  ถึง  ๓1 พฤษภาคม ๒๕๕6  </t>
    </r>
    <r>
      <rPr>
        <b/>
        <sz val="18"/>
        <rFont val="TH SarabunIT๙"/>
        <family val="2"/>
      </rPr>
      <t xml:space="preserve">                                                                                                </t>
    </r>
  </si>
  <si>
    <t xml:space="preserve">รอบระยะเวลา  9  เดือน  ๑ ตุลาคม ๒๕๕5  ถึง  ๓0 มิถุนายน ๒๕๕6                                                                                                  </t>
  </si>
  <si>
    <t xml:space="preserve">รอบระยะเวลา  10  เดือน  ๑ ตุลาคม ๒๕๕5  ถึง  ๓1 กรกฎาคม ๒๕๕6                                                                                                  </t>
  </si>
  <si>
    <t xml:space="preserve">รอบระยะเวลา  11  เดือน  ๑ ตุลาคม ๒๕๕5  ถึง  ๓1 สิงหาคม ๒๕๕6                                                                                                  </t>
  </si>
  <si>
    <t>งบประมาณรายจ่ายลงทุน (ไตรมาส 4)</t>
  </si>
  <si>
    <t>15 ก.ย.</t>
  </si>
  <si>
    <t>1 ก.ย.</t>
  </si>
  <si>
    <t>ค่าคะแนนเฉลี่ยถ่วงน้ำหนักรวม</t>
  </si>
  <si>
    <t>จ.ลำปาง</t>
  </si>
  <si>
    <t>โครงการอ่างเก็บน้ำห้วยตะโก</t>
  </si>
  <si>
    <t>จ.บุรีรัมย์</t>
  </si>
  <si>
    <t>ผู้รับบริการ</t>
  </si>
  <si>
    <t>สพญ-03 ร้อยละความสำเร็จในการ</t>
  </si>
  <si>
    <t>สพญ-04 ร้อยละของโครงการที่</t>
  </si>
  <si>
    <t>สพญ-05 ร้อยละของงานจัดหาที่ดิน</t>
  </si>
  <si>
    <t>สพญ-06 ร้อยละของกิจกรรมการ</t>
  </si>
  <si>
    <t>สพญ-08 ร้อยละของอัตราการเบิกจ่าย</t>
  </si>
  <si>
    <t>สพญ-09 ร้อยละเฉลี่ยของข้าราชการ</t>
  </si>
  <si>
    <t>กรมที่ผ่านการประเมินสมรรถนะ</t>
  </si>
  <si>
    <t>สพญ-10 ร้อยละของบุคลากร</t>
  </si>
  <si>
    <t>ที่พอใจต่อการปฏิบัติงาน</t>
  </si>
  <si>
    <t>สพญ-11 ค่าเฉลี่ยคะแนนการตรวจ</t>
  </si>
  <si>
    <t>สพญ-12 คุณภาพเว็บไซต์ของ</t>
  </si>
  <si>
    <t>สพญ-13 ร้อยละของการบันทึกข้อมูล</t>
  </si>
  <si>
    <t>สพญ-01 จำนวนพื้นที่ชลประทานที่</t>
  </si>
  <si>
    <t>เพิ่มขึ้น(ไร่)</t>
  </si>
  <si>
    <t>สพญ-02 ร้อยละความพึงพอใจของ</t>
  </si>
  <si>
    <t>สพญ-07 ร้อยละของการศึกษาหรือวิจัย</t>
  </si>
  <si>
    <t>และพัฒนาที่แล้วเสร็จตามแผนงาน</t>
  </si>
  <si>
    <t>(ประเมินโดยสำนักบริหารทรัพยากรบุคคล)</t>
  </si>
  <si>
    <t>บาท</t>
  </si>
  <si>
    <t>กส.1</t>
  </si>
  <si>
    <t>กส.2</t>
  </si>
  <si>
    <t>กส.3</t>
  </si>
  <si>
    <t>กส.4</t>
  </si>
  <si>
    <t>กส.5</t>
  </si>
  <si>
    <t>กส.6</t>
  </si>
  <si>
    <t>กส.7</t>
  </si>
  <si>
    <t>กส.8</t>
  </si>
  <si>
    <t>กส.9</t>
  </si>
  <si>
    <t>กส.10</t>
  </si>
  <si>
    <t>กส.11</t>
  </si>
  <si>
    <t>กส.12</t>
  </si>
  <si>
    <t>กส.13</t>
  </si>
  <si>
    <t>จัดสรร</t>
  </si>
  <si>
    <t>กส.14</t>
  </si>
  <si>
    <t>เบิกจ่าย</t>
  </si>
  <si>
    <t>กส4</t>
  </si>
  <si>
    <t>กส5</t>
  </si>
  <si>
    <t>กส3</t>
  </si>
  <si>
    <t>กส7</t>
  </si>
  <si>
    <t>กส8</t>
  </si>
  <si>
    <t>กส9</t>
  </si>
  <si>
    <t>กส10</t>
  </si>
  <si>
    <t>กส11</t>
  </si>
  <si>
    <t>กส12</t>
  </si>
  <si>
    <t>กส13</t>
  </si>
  <si>
    <t>ผบท</t>
  </si>
  <si>
    <t>ผอต</t>
  </si>
  <si>
    <t>ผวศ</t>
  </si>
  <si>
    <t>สพญ</t>
  </si>
  <si>
    <t>%ผลงาน</t>
  </si>
  <si>
    <t xml:space="preserve">ผลการเบิกจ่ายสะสม </t>
  </si>
  <si>
    <t xml:space="preserve">คิดเป็น </t>
  </si>
  <si>
    <t xml:space="preserve">สำนัก/กอง  </t>
  </si>
  <si>
    <t>(ประเมินโดยกองแผนงาน)</t>
  </si>
  <si>
    <t>ผลงานสะสม</t>
  </si>
  <si>
    <t xml:space="preserve"> </t>
  </si>
  <si>
    <t>จำนวน 2 รอบการประเมิน</t>
  </si>
  <si>
    <t>ผลการประเมินรอบที่ 1 = 98.66%</t>
  </si>
  <si>
    <t>ผู้รับบริการภายในของสำนักพัฒนาแหล่งน้ำขนาดใหญ่ ได้แก่ สำนัก/กองและหน่วยงาน</t>
  </si>
  <si>
    <t>รวมทั้งสำนักงานชลประทานต่างๆ ที่รับมอบโครงการก่อสร้างจากสำนักพัฒนาแหล่งน้ำ</t>
  </si>
  <si>
    <t>ขนาดใหญ่ ระดับความพึงพอใจของผู้รับบริการ</t>
  </si>
  <si>
    <t>ผลงานก่อสร้างของหน่วยงานในสำนักพัฒนาแหล่งน้ำขนาดใหญ่ คำนวณจาก</t>
  </si>
  <si>
    <t>ความสำเร็จของผลงานเมื่อเทียบกับแผนงานก่อสร้างของสำนักงานก่อสร้างชลประทาน</t>
  </si>
  <si>
    <t>ขนาดใหญ่ที่ 1-13 ประจำปีงบประมาณ พ.ศ. 2558</t>
  </si>
  <si>
    <t>โครงการที่สามารถเตรียมความพร้อมในการก่อสร้างเสร็จตามแผนงาน คำนวณจาก</t>
  </si>
  <si>
    <t>ผลการเบิกจ่ายงบประมาณค่าเตรียมความพร้อม ของสำนักงานก่อสร้างชลประทาน</t>
  </si>
  <si>
    <t xml:space="preserve">ผลงานจัดหาที่ดินที่แล้วเสร็จของสำนักงานก่อสร้างชลประทานขนาดใหญ่ที่ 1 - 13 </t>
  </si>
  <si>
    <t xml:space="preserve">คำนวณจาก จำนวนเงินที่ได้รับอนุมัติตามบัญชีขออนุมัติจ่ายเงินค่าทดแทนทรัพย์สิน </t>
  </si>
  <si>
    <t>ประจำปีงบประมาณ พ.ศ. 2558</t>
  </si>
  <si>
    <t>เทียบกับ จำนวนเงินงบประมาณค่าทดแทนทรัพย์สินที่ได้รับจัดสรร</t>
  </si>
  <si>
    <t xml:space="preserve">ผลการจัดกิจกรรมมวลชนสัมพันธ์ของสำนักงานก่อสร้างชลประทานขนาดใหญ่ที่ 1-13 </t>
  </si>
  <si>
    <t>คำนวณจากจำนวนครั้งของผลการจัดกิจกรรมสะสม เทียบกับ จำนวนครั้งของแผนการ</t>
  </si>
  <si>
    <t>จัดกิจกรรมมวลชนสัมพันธ์ ประจำปีงบประมาณ พ.ศ. 2558</t>
  </si>
  <si>
    <t>ผลงานโครงการวิจัยและพัฒนา ของสำนักงานก่อสร้างชลประทานขนาดใหญ่ที่ 1-13</t>
  </si>
  <si>
    <t>คำนวณจากความก้าวหน้าการจัดทำโครงการ ประจำปีงบประมาณ พ.ศ. 2558</t>
  </si>
  <si>
    <t>ขนาดใหญ่ที่ 1-13  ประจำปีงบประมาณ พ.ศ. 2558</t>
  </si>
  <si>
    <t>ผลการเบิกจ่ายงบประมาณรายจ่ายงบลงทุน ของสำนักงานก่อสร้างชลประทาน</t>
  </si>
  <si>
    <t xml:space="preserve">คำนวณผลจากจำนวนข้าราชการของหน่วยงานภายในสำนักพัฒนาแหล่งน้ำขนาดใหญ่ </t>
  </si>
  <si>
    <t>ที่มีผลการประเมินสมรรถนะเท่ากับหรือมากกว่าระดับที่องค์กรคาดหวัง เทียบกับ</t>
  </si>
  <si>
    <t>จำนวนข้าราชการที่มีการประเมิน จำนวน 2 รอบการประเมิน</t>
  </si>
  <si>
    <t>สำนักบริหารทรัพยากรบุคคลสำรวจความพึงพอใจของบุคลากรต่อการปฎิบัติงาน</t>
  </si>
  <si>
    <t>ประกอบด้วย มิติด้านการทำงาน มิติด้านสังคม  มิติด้านส่วนตัว และมิติด้านเศษฐกิจ</t>
  </si>
  <si>
    <t xml:space="preserve">คะแนนการตรวจประเมินการจัดการความรู้ (KMA) ของสำนัก/กอง หมวด 1-หมวด 7 </t>
  </si>
  <si>
    <t xml:space="preserve">โดยการตรวจประเมินจากหลักฐานที่แสดงบนเว็บคลังความรู้ของสำนัก/กอง </t>
  </si>
  <si>
    <t>วัดความครบถ้วนในการจัดทำเว็บไซต์ ของหน่วยงานภายในสำนักพัฒนาแหล่งน้ำ</t>
  </si>
  <si>
    <t>การสื่อสารโดยวัดจากจำนวนฐานข้อมูลที่จัดทำ เทียบกับจำนวนข้อมูลตามเกณฑ์</t>
  </si>
  <si>
    <t>การจัดทำเว็บไซต์</t>
  </si>
  <si>
    <t>วัดความครบถ้วนในการบันทึกข้อมูล ของสำนักงานก่อสร้างชลประทานขนาดใหญ่ที่</t>
  </si>
  <si>
    <t xml:space="preserve">1-13 ประกอบด้วย การบันทึกข้อมูลทั่วไป กระบวนการจัดซื้อจัดจ้าง ปัญหาอุปสรรค </t>
  </si>
  <si>
    <t>การเบิกจ่ายงบประมาณ แผน/ผลการปฏิบัติงาน การบันทึกรูปภาพก่อน ระหว่าง และ</t>
  </si>
  <si>
    <t xml:space="preserve">หลังงานก่อสร้างแล้วเสร็จ วัดจากจำนวนช่องที่บันทึก เทียบกับ ช่องรายการทั้งหมด </t>
  </si>
  <si>
    <t xml:space="preserve"> ส่วนติดตามและประเมินผล สำนักพัฒนาแหล่งน้ำขนาดใหญ่  ปีงบประมาณ พ.ศ.2558 </t>
  </si>
  <si>
    <t xml:space="preserve"> ผตป. 3-1/2558</t>
  </si>
  <si>
    <t>เฉลี่ย</t>
  </si>
  <si>
    <t>ฝบ</t>
  </si>
  <si>
    <t>ผอป</t>
  </si>
  <si>
    <t>สคญ.</t>
  </si>
  <si>
    <t>เงินงบประมาณ</t>
  </si>
  <si>
    <t>% ผลงาน</t>
  </si>
  <si>
    <t>% สำนักงาน</t>
  </si>
  <si>
    <t>โครงการเพิ่มปริมารน้ำในอ่างเก็บน้ำเขื่อนแม่กวงอุดมธารา จังหวัดเชียงใหม่</t>
  </si>
  <si>
    <t>โครงการอ่างเก็บน้ำมวกเหล็ก จังหวัดสระบุรี</t>
  </si>
  <si>
    <t>โครงการระบบส่งน้ำประตูระบายน้ำน้ำก่ำตอนล่าง สถานีสูบน้ำบ้านโพนทอง จังหวัดนครพนม</t>
  </si>
  <si>
    <t>โครงการประตูระบายน้ำบ้านหนองบัวพร้อมระบบส่งน้ำ จังหวัดนครพนม</t>
  </si>
  <si>
    <t>โครงการประตูระบายน้ำบ้านห้วยทรายพร้อมระบบส่งน้ำ จังหวัดบึงกาฬ</t>
  </si>
  <si>
    <t>โครงการเขื่อนทดน้ำผาจุก จังหวัดอุตรดิตถ์</t>
  </si>
  <si>
    <t>โครงการกิ่วคอหมา จังหวัดลำปาง</t>
  </si>
  <si>
    <t>โครงการอ่างเก็บน้ำคลองหลวง จังหวัดชลบุรี</t>
  </si>
  <si>
    <t>โครงการบรรเทาอุทกภัยเมืองจันทบุรี (แผนระยะที่ 2) จังหวัดจันทบุรี</t>
  </si>
  <si>
    <t>โครงการชลประทานระบบส่งน้ำบ้านเขายายพริ้ง จังหวัดระยอง</t>
  </si>
  <si>
    <t>โครงการสถานีสูบน้ำปลายคลองระบายใหญ่ ชัยนาท-ป่าสัก 2 จังหวัดสิงห์บุรี</t>
  </si>
  <si>
    <t>โครงการพัฒนาลุ่มน้ำตาปี-พุ่มดวง จังหวัดสุราษฎร์ธานี</t>
  </si>
  <si>
    <t>โครงการบรรเทาอุทกภัยอำเภอหาดใหญ่ (ระยะที่ 2) จังหวัดสงขลา</t>
  </si>
  <si>
    <t>โครงการแก้มลิงหนองกก จังหวัดตรัง</t>
  </si>
  <si>
    <t>โครงการอ่างเก็บน้ำห้วยน้ำรีอันเนื่องมาจากพระราชดำริ จังหวัดอุตรดิตถ์</t>
  </si>
  <si>
    <t>โครงการประตูระบายน้ำพระอาจารย์จื่อ (ลำเชียงทา) จังหวัดชัยภูมิ</t>
  </si>
  <si>
    <t>โครงการระบบส่งน้ำโครงการอ่างเก็บน้ำห้วยตะแบก จังหวัดศรีสะเกษ</t>
  </si>
  <si>
    <t>โครงการระบบส่งน้ำโครงการอ่างเก็บน้ำห้วยตะโก จังหวัดบุรีรัมย์</t>
  </si>
  <si>
    <t>สคญ</t>
  </si>
  <si>
    <t>ได้รับ</t>
  </si>
  <si>
    <t>%ผลการเบิกจ่าย</t>
  </si>
  <si>
    <t>โครงการอ่างเก็บน้ำคลองมะเดื่อ จังหวัดนครนายก</t>
  </si>
  <si>
    <t>โครงการพัฒนาลุ่มน้าห้วยหลวง จังหวัดหนองคาย-อุดรธานี</t>
  </si>
  <si>
    <t>โครงการระบบส่งน้ำพิษณุโลกฝั่งซ้าย ระยะที่2 จังหวัดพิษณุโลก</t>
  </si>
  <si>
    <t>โครงการอ่างเก็บน้ำคลองโพล้ จังหวัดระยอง</t>
  </si>
  <si>
    <t xml:space="preserve"> ผลงานโครงการวิจัยและพัฒนา คำนวณจากความก้าวหน้าการจัดทำโครงการ</t>
  </si>
  <si>
    <t>โครงการอ่างเก็บน้ำวังโตนด จังหวัดจันทบุรี</t>
  </si>
  <si>
    <t xml:space="preserve"> ประจำปีงบประมาณ พ.ศ. 2558</t>
  </si>
  <si>
    <t>โครงการบรรเทาอุทกภัยเมืองนครศรีธรรมราช จังหวัดนครศรีธรรมราช</t>
  </si>
  <si>
    <t>% (เมื่อเดือนกรกฎาคม 2558)</t>
  </si>
  <si>
    <t>โครงการระบบระบายแม่น้ำตรัง จังหวัดตรัง</t>
  </si>
  <si>
    <t>โครงการประตูระบายน้ำศรีสองรัก จังหวัดเลย</t>
  </si>
  <si>
    <t>โครงการพัฒนาพื้นที่ชลประทานบริเวณลุ่มน้ำมูลตอนล่าง จังหวัดอุบลราชธานี</t>
  </si>
  <si>
    <t>กส6</t>
  </si>
  <si>
    <t xml:space="preserve"> ส่วนวิศวกรรม สำนักพัฒนาแหล่งน้ำขนาดใหญ่  ปีงบประมาณ พ.ศ.2558 </t>
  </si>
  <si>
    <t>ผลงานโครงการวิจัยและพัฒนา คำนวณจากความก้าวหน้าการจัดทำโครงการ</t>
  </si>
  <si>
    <t>โครงการอ่างเก็บน้ำพระอาจารย์จื่อ (ลำกระจวน จังหวัดชัยภูมิ)</t>
  </si>
  <si>
    <t>โครงการระบบส่งน้ำโครงการอ่างเก็บน้ำห้วยละมืด จังหวัดอุบลราชธานี</t>
  </si>
  <si>
    <t>โครงการระบบส่งน้ำโครงการอ่างเก็บน้ำห้วยโดน จังหวัดอุบลราชธานี</t>
  </si>
  <si>
    <t>โครงการอ่งเก็บน้ำห้วยจันทร์ จังหวัดศรีสะเกษ</t>
  </si>
  <si>
    <t>โครงการอ่างเก็บน้ำห้วยบอนอันเนื่องมาจากพระราชดำริ จังหวัดอุบลราชธานี</t>
  </si>
  <si>
    <t>โครงการเพื่อมพื้นที่ชลประทานโครงการส่งน้ำและบำรุงรักษาลำปาว จังหวัดกาฬสินธุ์</t>
  </si>
  <si>
    <t xml:space="preserve"> ฝ่ายบริหารทั่วไป สำนักพัฒนาแหล่งน้ำขนาดใหญ่  ปีงบประมาณ พ.ศ. 2558</t>
  </si>
  <si>
    <t>สรุปผลคะแนนคำรับรองการปฏิบัติราชการ ประจำปีงบประมาณ พ.ศ. 2558</t>
  </si>
  <si>
    <t>16 หน่วยงาน ภายในสำนักพัฒนาแหล่งน้ำขนาดใหญ่</t>
  </si>
  <si>
    <t>หน่วยงาน</t>
  </si>
  <si>
    <t>ผลคะแนนดิบ
(คะแนน)</t>
  </si>
  <si>
    <t>ผลคะแนนโดยคิดจากจำนวนงานที่ปฏิบัติ</t>
  </si>
  <si>
    <t>หมายเหตุ</t>
  </si>
  <si>
    <t>ส่วนติดตามและประเมินผล</t>
  </si>
  <si>
    <t>ส่วนวิศวกรรม</t>
  </si>
  <si>
    <t>ฝ่ายบริหารทั่วไป</t>
  </si>
  <si>
    <t>สำนักงานก่อสร้างชลประทานขนาดใหญ่ที่ 1</t>
  </si>
  <si>
    <t xml:space="preserve"> สำนักงานก่อสร้างชลประทานขนาดใหญ่ที่ 1  ปีงบประมาณ พ.ศ.2558 </t>
  </si>
  <si>
    <t>ขนาดใหญ่ ประจำปีงบประมาณ พ.ศ. 2558</t>
  </si>
  <si>
    <t xml:space="preserve">ผลงานจัดหาที่ดินที่แล้วเสร็จของสำนักงานก่อสร้างชลประทานขนาดใหญ่ คำนวณจาก </t>
  </si>
  <si>
    <t>จำนวนเงินที่ได้รับอนุมัติตามบัญชีขออนุมัติจ่ายเงินค่าทดแทนทรัพย์สิน เทียบกับ จำนวนเงิน</t>
  </si>
  <si>
    <t>งบประมาณค่าทดแทนทรัพย์สินที่ได้รับจัดสรร ประจำปีงบประมาณ พ.ศ. 2558</t>
  </si>
  <si>
    <t xml:space="preserve"> ผลการเบิกจ่ายงบประมาณรายจ่ายงบลงทุน ของสำนักงานก่อสร้างชลประทานขนาดใหญ่</t>
  </si>
  <si>
    <t xml:space="preserve"> วัดความครบถ้วนในการบันทึกข้อมูล ของสำนักงานก่อสร้างชลประทานขนาดใหญ่</t>
  </si>
  <si>
    <t xml:space="preserve"> ประกอบด้วย การบันทึกข้อมูลทั่วไป กระบวนการ  จัดซื้อจัดจ้าง ปัญหาอุปสรรค</t>
  </si>
  <si>
    <t xml:space="preserve"> การเบิกจ่ายงบประมาณ แผน/ผลการปฏิบัติงานและการบันทึกรูปภาพก่อนระหว่าง </t>
  </si>
  <si>
    <t xml:space="preserve"> และหลังงานก่อสร้างแล้วเสร็จ โดยวัดจากจำนวนช่องที่บันทึก เทียบกับ ช่องรายการทั้งหมด</t>
  </si>
  <si>
    <t>สำนักงานก่อสร้างชลประทานขนาดใหญ่ที่ 2</t>
  </si>
  <si>
    <t xml:space="preserve">ผลงานโครงการวิจัยและพัฒนา คำนวณจากความก้าวหน้าการจัดทำโครงการ </t>
  </si>
  <si>
    <t>(ประเมินโดยส่วนติดตามและประเมินผล)</t>
  </si>
  <si>
    <t xml:space="preserve"> สำนักงานก่อสร้างชลประทานขนาดใหญ่ที่ 2  ปีงบประมาณ พ.ศ.2558 </t>
  </si>
  <si>
    <t xml:space="preserve"> โครงการที่สามารถเตรียมความพร้อมในการก่อสร้างเสร็จตามแผนงาน คำนวณจาก</t>
  </si>
  <si>
    <t xml:space="preserve"> ผลการเบิกจ่ายงบประมาณค่าเตรียมความพร้อมของสำนักงานก่อสร้างชลประทานขนาดใหญ่</t>
  </si>
  <si>
    <t xml:space="preserve"> ผลการเบิกจ่ายงบประมาณรายจ่ายงบลงทุน ของสำนักงานก่อสร้างชลประทานขนาดใหญ่ </t>
  </si>
  <si>
    <t>สำนักงานก่อสร้างชลประทานขนาดใหญ่ที่ 3</t>
  </si>
  <si>
    <t>วัดความครบถ้วนในการจัดทำเว็บไซต์ ตามเกณฑ์การจัดทำเว็บไซต์กำหนดโดยศูนย์เทคโนโลยี่</t>
  </si>
  <si>
    <t>สารสนเทศและการสื่อสารโดยวัดจากจำนวนฐานข้อมูลที่จัดทำ เทียบกับจำนวนข้อมูลตามเกณฑ์</t>
  </si>
  <si>
    <t xml:space="preserve"> วัดความครบถ้วนในการบันทึกข้อมูล ของสำนักงานก่อสร้างชลประทานขนาดใหญ่ ประกอบด้วย</t>
  </si>
  <si>
    <t xml:space="preserve">การบันทึกข้อมูลทั่วไป กระบวนการ จัดซื้อจัดจ้าง ปัญหาอุปสรรค การเบิกจ่ายงบประมาณ </t>
  </si>
  <si>
    <t>โดยวัดจากจำนวนช่องที่บันทึกเทียบกับ ช่องรายการทั้งหมด</t>
  </si>
  <si>
    <t xml:space="preserve">แผน/ผลการปฏิบัติงานและการบันทึกรูปภาพก่อนระหว่าง และหลังงานก่อสร้างแล้วเสร็จ </t>
  </si>
  <si>
    <t xml:space="preserve"> สำนักงานก่อสร้างชลประทานขนาดใหญ่ที่ 3  ปีงบประมาณ พ.ศ.2558 </t>
  </si>
  <si>
    <t xml:space="preserve"> ผลการจัดกิจกรรมมวลชนสัมพันธ์ของสำนักงานก่อสร้างชลประทานขนาดใหญ่ คำนวนจาก</t>
  </si>
  <si>
    <t xml:space="preserve"> จำนวนครั้งของผลการจัดกิจกรรมสะสม เทียบกับ จำนวนครั้งของแผนการจัดกิจกรรม</t>
  </si>
  <si>
    <t xml:space="preserve"> มวลชนสัมพันธ์ ประจำปีงบประมาณ พ.ศ. 2558</t>
  </si>
  <si>
    <t>โครงการอ่างเก็บน้ำน้ำปี้ จังหวัดพะเยา</t>
  </si>
  <si>
    <t>สำนักงานก่อสร้างชลประทานขนาดใหญ่ที่ 4</t>
  </si>
  <si>
    <t xml:space="preserve"> สำนักงานก่อสร้างชลประทานขนาดใหญ่ที่ 4  ปีงบประมาณ พ.ศ.2558 </t>
  </si>
  <si>
    <t>กส.14 4</t>
  </si>
  <si>
    <t>สำนักงานก่อสร้างชลประทานขนาดใหญ่ที่ 5</t>
  </si>
  <si>
    <t xml:space="preserve"> สำนักงานก่อสร้างชลประทานขนาดใหญ่ที่ 5  ปีงบประมาณ พ.ศ.2558 </t>
  </si>
  <si>
    <t>กส.4 5</t>
  </si>
  <si>
    <t>สำนักงานก่อสร้างชลประทานขนาดใหญ่ที่ 6</t>
  </si>
  <si>
    <t xml:space="preserve"> สำนักงานก่อสร้างชลประทานขนาดใหญ่ที่ 6  ปีงบประมาณ พ.ศ.2558 </t>
  </si>
  <si>
    <t>สำนักงานก่อสร้างชลประทานขนาดใหญ่ที่ 7</t>
  </si>
  <si>
    <t xml:space="preserve"> สำนักงานก่อสร้างชลประทานขนาดใหญ่ที่ 7  ปีงบประมาณ พ.ศ.2558 </t>
  </si>
  <si>
    <t xml:space="preserve"> โครงการที่สามารถเตรียมความพร้อมในการก่อสร้างเสร็จตามแผนงาน</t>
  </si>
  <si>
    <t xml:space="preserve"> คำนวณจากผลการเบิกจ่ายงบประมาณค่าเตรียมความพร้อม</t>
  </si>
  <si>
    <t xml:space="preserve"> ของสำนักงานก่อสร้างชลประทานขนาดใหญ่ที่ 1-13 ประจำปีงบประมาณ พ.ศ. 2558</t>
  </si>
  <si>
    <t>โครงการระบายน้ำปลกปลิง-จะนะ จังหวัดสงขลา</t>
  </si>
  <si>
    <t>สำนักงานก่อสร้างชลประทานขนาดใหญ่ที่ 8</t>
  </si>
  <si>
    <t xml:space="preserve"> สำนักงานก่อสร้างชลประทานขนาดใหญ่ที่ 8  ปีงบประมาณ พ.ศ.2558 </t>
  </si>
  <si>
    <t>สำนักงานก่อสร้างชลประทานขนาดใหญ่ที่ 9</t>
  </si>
  <si>
    <t xml:space="preserve"> สำนักงานก่อสร้างชลประทานขนาดใหญ่ที่ 9  ปีงบประมาณ พ.ศ.2558 </t>
  </si>
  <si>
    <t>สำนักงานก่อสร้างชลประทานขนาดใหญ่ที่ 10</t>
  </si>
  <si>
    <t xml:space="preserve"> สำนักงานก่อสร้างชลประทานขนาดใหญ่ที่ 10  ปีงบประมาณ พ.ศ.2558 </t>
  </si>
  <si>
    <t xml:space="preserve"> สำนักงานก่อสร้างชลประทานขนาดใหญ่ที่ 11  ปีงบประมาณ พ.ศ.2558 </t>
  </si>
  <si>
    <t>สำนักงานก่อสร้างชลประทานขนาดใหญ่ที่ 12</t>
  </si>
  <si>
    <t>สำนักงานก่อสร้างชลประทานขนาดใหญ่ที่ 11</t>
  </si>
  <si>
    <t>สำนักงานก่อสร้างชลประทานขนาดใหญ่ที่ 13</t>
  </si>
  <si>
    <t xml:space="preserve"> สำนักงานก่อสร้างชลประทานขนาดใหญ่ที่ 12  ปีงบประมาณ พ.ศ.2558 </t>
  </si>
  <si>
    <t xml:space="preserve"> สำนักงานก่อสร้างชลประทานขนาดใหญ่ที่ 13  ปีงบประมาณ พ.ศ.2558 </t>
  </si>
  <si>
    <t xml:space="preserve">  </t>
  </si>
  <si>
    <t>จัดลำดับ
คะแนน</t>
  </si>
  <si>
    <t>X ระดับความรับผิดชอบ
(%น้ำหนัก)</t>
  </si>
  <si>
    <t>สรุปผลคะแนนสุทธิ
(คะแนน)</t>
  </si>
  <si>
    <t>รางวัลอันดับที่ 1</t>
  </si>
  <si>
    <t>รางวัลอันดับที่ 2</t>
  </si>
  <si>
    <t>รางวัลอันดับที่ 3</t>
  </si>
  <si>
    <t>รางวัลชมเชย</t>
  </si>
  <si>
    <t>% (เมื่อ 1 กันยายน 2558)</t>
  </si>
  <si>
    <t>% (เมื่อ 31 กันยายน 2558)</t>
  </si>
  <si>
    <t>% (เมื่อ 2 กันยายน 2558)</t>
  </si>
  <si>
    <t>วัดความครบถ้วนในการจัดทำเว็บไซต์ ตามเกณฑ์การจัดทำเว็บไซต์กำหนดโดยศูนย์เทคโนโลยี</t>
  </si>
  <si>
    <t>ภายในกรมชลประทานที่มีการติดต่อประสานงานกับสำนักพัฒนาแหล่งน้ำขนาดใหญ่</t>
  </si>
  <si>
    <t>1. โครงการประตูระบายน้ำบ้าน</t>
  </si>
  <si>
    <t>2. โครงการกิ่วคอหมา จ.ลำปาง</t>
  </si>
  <si>
    <t>3. โครงการระบบส่งน้ำโครงการ</t>
  </si>
  <si>
    <t>อ่างเก็บน้ำห้วยตะโก จ.บุรีรัมย์</t>
  </si>
  <si>
    <t>4. โครงการระบบส่งน้ำโครงการ</t>
  </si>
  <si>
    <t>อ่างเก็บน้ำห้วยตะแบง จ.ศรีสะเกษ</t>
  </si>
  <si>
    <t>หนองบัวพร้อมระบบส่งน้ำ จ.นครพนม</t>
  </si>
  <si>
    <t xml:space="preserve">รอบระยะเวลา  12  เดือน ระหว่าง วันที่  1 ตุลาคม 2557  ถึง วันที่  30 กันยายน 2558                                                                                                  </t>
  </si>
  <si>
    <t>โครงการระบบส่งน้ำโครงการ</t>
  </si>
  <si>
    <t xml:space="preserve"> สำนักพัฒนาแหล่งน้ำขนาดใหญ่  ปีงบประมาณ พ.ศ.2558 </t>
  </si>
  <si>
    <t>ขนาดใหญ่ตามเกณฑ์การจัดทำเว็บไซต์กำหนดโดยศูนย์เทคโนโลยีสารสนเทศและ</t>
  </si>
</sst>
</file>

<file path=xl/styles.xml><?xml version="1.0" encoding="utf-8"?>
<styleSheet xmlns="http://schemas.openxmlformats.org/spreadsheetml/2006/main">
  <numFmts count="6">
    <numFmt numFmtId="187" formatCode="_-* #,##0.00_-;\-* #,##0.00_-;_-* &quot;-&quot;??_-;_-@_-"/>
    <numFmt numFmtId="188" formatCode="0.0000"/>
    <numFmt numFmtId="189" formatCode="_-* #,##0_-;\-* #,##0_-;_-* &quot;-&quot;??_-;_-@_-"/>
    <numFmt numFmtId="190" formatCode="_-* #,##0.0000_-;\-* #,##0.0000_-;_-* &quot;-&quot;??_-;_-@_-"/>
    <numFmt numFmtId="191" formatCode="_-* #,##0.000_-;\-* #,##0.000_-;_-* &quot;-&quot;??_-;_-@_-"/>
    <numFmt numFmtId="192" formatCode="0.000"/>
  </numFmts>
  <fonts count="53">
    <font>
      <sz val="10"/>
      <name val="Arial"/>
      <charset val="222"/>
    </font>
    <font>
      <sz val="16"/>
      <name val="Angsana New"/>
      <family val="1"/>
    </font>
    <font>
      <b/>
      <sz val="18"/>
      <color indexed="18"/>
      <name val="TH SarabunIT๙"/>
      <family val="2"/>
    </font>
    <font>
      <b/>
      <sz val="18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0"/>
      <name val="Arial"/>
      <family val="2"/>
    </font>
    <font>
      <b/>
      <sz val="20"/>
      <name val="TH SarabunIT๙"/>
      <family val="2"/>
    </font>
    <font>
      <b/>
      <sz val="18"/>
      <color indexed="12"/>
      <name val="TH SarabunIT๙"/>
      <family val="2"/>
    </font>
    <font>
      <sz val="18"/>
      <name val="TH SarabunIT๙"/>
      <family val="2"/>
    </font>
    <font>
      <sz val="20"/>
      <name val="TH SarabunIT๙"/>
      <family val="2"/>
    </font>
    <font>
      <u/>
      <sz val="8"/>
      <color theme="10"/>
      <name val="Arial"/>
      <family val="2"/>
    </font>
    <font>
      <u/>
      <sz val="12"/>
      <color theme="10"/>
      <name val="Arial"/>
      <family val="2"/>
    </font>
    <font>
      <sz val="18"/>
      <color rgb="FF000000"/>
      <name val="TH SarabunIT๙"/>
      <family val="2"/>
    </font>
    <font>
      <sz val="16"/>
      <color rgb="FF000000"/>
      <name val="TH SarabunIT๙"/>
      <family val="2"/>
    </font>
    <font>
      <sz val="16"/>
      <color rgb="FF0000FF"/>
      <name val="Angsana New"/>
      <family val="1"/>
    </font>
    <font>
      <u/>
      <sz val="16"/>
      <color rgb="FF0000FF"/>
      <name val="Angsana New"/>
      <family val="1"/>
    </font>
    <font>
      <sz val="16"/>
      <color rgb="FFFF0000"/>
      <name val="Angsana New"/>
      <family val="1"/>
    </font>
    <font>
      <b/>
      <u/>
      <sz val="16"/>
      <color rgb="FF0000FF"/>
      <name val="Angsana New"/>
      <family val="1"/>
    </font>
    <font>
      <b/>
      <sz val="16"/>
      <color rgb="FFFF0000"/>
      <name val="Angsana New"/>
      <family val="1"/>
    </font>
    <font>
      <b/>
      <sz val="16"/>
      <color rgb="FF0000FF"/>
      <name val="Angsana New"/>
      <family val="1"/>
    </font>
    <font>
      <sz val="16"/>
      <color theme="0"/>
      <name val="Angsana New"/>
      <family val="1"/>
    </font>
    <font>
      <b/>
      <sz val="16"/>
      <color rgb="FFFF0000"/>
      <name val="TH SarabunIT๙"/>
      <family val="2"/>
    </font>
    <font>
      <b/>
      <sz val="16"/>
      <color rgb="FF0000CC"/>
      <name val="TH SarabunIT๙"/>
      <family val="2"/>
    </font>
    <font>
      <b/>
      <sz val="18"/>
      <color rgb="FF0000CC"/>
      <name val="TH SarabunIT๙"/>
      <family val="2"/>
    </font>
    <font>
      <u/>
      <sz val="16"/>
      <name val="Angsana New"/>
      <family val="1"/>
    </font>
    <font>
      <u/>
      <sz val="12"/>
      <name val="Arial"/>
      <family val="2"/>
    </font>
    <font>
      <b/>
      <u/>
      <sz val="16"/>
      <name val="Angsana New"/>
      <family val="1"/>
    </font>
    <font>
      <b/>
      <sz val="16"/>
      <name val="Angsana New"/>
      <family val="1"/>
    </font>
    <font>
      <b/>
      <sz val="20"/>
      <name val="TH SarabunPSK"/>
      <family val="2"/>
    </font>
    <font>
      <sz val="20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8"/>
      <name val="TH SarabunPSK"/>
      <family val="2"/>
    </font>
    <font>
      <b/>
      <sz val="18"/>
      <color rgb="FF0000CC"/>
      <name val="TH SarabunPSK"/>
      <family val="2"/>
    </font>
    <font>
      <b/>
      <sz val="16"/>
      <color rgb="FF0000CC"/>
      <name val="TH SarabunPSK"/>
      <family val="2"/>
    </font>
    <font>
      <u/>
      <sz val="12"/>
      <name val="TH SarabunPSK"/>
      <family val="2"/>
    </font>
    <font>
      <b/>
      <u/>
      <sz val="16"/>
      <name val="TH SarabunPSK"/>
      <family val="2"/>
    </font>
    <font>
      <b/>
      <sz val="15"/>
      <name val="TH SarabunPSK"/>
      <family val="2"/>
    </font>
    <font>
      <b/>
      <sz val="17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FF0000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  <font>
      <u/>
      <sz val="18"/>
      <color theme="1"/>
      <name val="TH SarabunPSK"/>
      <family val="2"/>
    </font>
    <font>
      <u/>
      <sz val="18"/>
      <color theme="3"/>
      <name val="TH SarabunPSK"/>
      <family val="2"/>
    </font>
    <font>
      <sz val="16"/>
      <color indexed="81"/>
      <name val="Tahoma"/>
      <family val="2"/>
    </font>
    <font>
      <sz val="9"/>
      <color indexed="81"/>
      <name val="Tahoma"/>
      <family val="2"/>
    </font>
    <font>
      <b/>
      <sz val="20"/>
      <color rgb="FF0000CC"/>
      <name val="TH SarabunPSK"/>
      <family val="2"/>
    </font>
    <font>
      <sz val="16"/>
      <color rgb="FF0000CC"/>
      <name val="TH SarabunPSK"/>
      <family val="2"/>
    </font>
    <font>
      <b/>
      <sz val="16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87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</cellStyleXfs>
  <cellXfs count="794">
    <xf numFmtId="0" fontId="0" fillId="0" borderId="0" xfId="0"/>
    <xf numFmtId="0" fontId="12" fillId="0" borderId="0" xfId="1" applyFont="1" applyAlignment="1" applyProtection="1"/>
    <xf numFmtId="9" fontId="13" fillId="0" borderId="1" xfId="0" applyNumberFormat="1" applyFont="1" applyFill="1" applyBorder="1" applyAlignment="1" applyProtection="1">
      <alignment horizontal="center" wrapText="1"/>
    </xf>
    <xf numFmtId="0" fontId="5" fillId="0" borderId="2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3" fontId="9" fillId="0" borderId="3" xfId="0" applyNumberFormat="1" applyFont="1" applyBorder="1" applyAlignment="1" applyProtection="1">
      <alignment wrapText="1"/>
    </xf>
    <xf numFmtId="3" fontId="9" fillId="0" borderId="3" xfId="0" applyNumberFormat="1" applyFont="1" applyBorder="1" applyAlignment="1" applyProtection="1">
      <alignment horizontal="center" wrapText="1"/>
    </xf>
    <xf numFmtId="0" fontId="9" fillId="0" borderId="3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/>
    </xf>
    <xf numFmtId="9" fontId="13" fillId="0" borderId="1" xfId="0" applyNumberFormat="1" applyFont="1" applyBorder="1" applyAlignment="1" applyProtection="1">
      <alignment horizontal="center" wrapText="1"/>
    </xf>
    <xf numFmtId="0" fontId="5" fillId="0" borderId="4" xfId="0" applyFont="1" applyFill="1" applyBorder="1" applyAlignment="1" applyProtection="1">
      <alignment horizontal="center"/>
    </xf>
    <xf numFmtId="9" fontId="13" fillId="0" borderId="1" xfId="0" applyNumberFormat="1" applyFont="1" applyBorder="1" applyAlignment="1" applyProtection="1">
      <alignment horizontal="center" vertical="top" wrapText="1"/>
    </xf>
    <xf numFmtId="9" fontId="9" fillId="0" borderId="1" xfId="0" applyNumberFormat="1" applyFont="1" applyFill="1" applyBorder="1" applyAlignment="1" applyProtection="1">
      <alignment horizontal="center" vertical="top" wrapText="1"/>
    </xf>
    <xf numFmtId="0" fontId="4" fillId="0" borderId="3" xfId="0" applyFont="1" applyFill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 vertical="top" wrapText="1"/>
    </xf>
    <xf numFmtId="9" fontId="13" fillId="0" borderId="3" xfId="0" applyNumberFormat="1" applyFont="1" applyBorder="1" applyAlignment="1" applyProtection="1">
      <alignment horizontal="center" vertical="top" wrapText="1"/>
    </xf>
    <xf numFmtId="0" fontId="4" fillId="0" borderId="4" xfId="0" applyFont="1" applyFill="1" applyBorder="1" applyAlignment="1" applyProtection="1">
      <alignment horizontal="center"/>
    </xf>
    <xf numFmtId="9" fontId="14" fillId="0" borderId="3" xfId="0" applyNumberFormat="1" applyFont="1" applyBorder="1" applyAlignment="1" applyProtection="1">
      <alignment horizontal="center" vertical="top" wrapText="1"/>
    </xf>
    <xf numFmtId="9" fontId="3" fillId="0" borderId="1" xfId="0" applyNumberFormat="1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left"/>
    </xf>
    <xf numFmtId="0" fontId="3" fillId="0" borderId="1" xfId="4" applyNumberFormat="1" applyFont="1" applyFill="1" applyBorder="1" applyAlignment="1" applyProtection="1">
      <alignment horizontal="center"/>
    </xf>
    <xf numFmtId="2" fontId="3" fillId="0" borderId="3" xfId="4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2" fontId="5" fillId="0" borderId="3" xfId="0" applyNumberFormat="1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2" fontId="5" fillId="0" borderId="4" xfId="0" applyNumberFormat="1" applyFont="1" applyFill="1" applyBorder="1" applyAlignment="1" applyProtection="1">
      <alignment horizontal="center"/>
    </xf>
    <xf numFmtId="1" fontId="5" fillId="0" borderId="3" xfId="0" applyNumberFormat="1" applyFont="1" applyFill="1" applyBorder="1" applyAlignment="1" applyProtection="1">
      <alignment horizontal="center"/>
    </xf>
    <xf numFmtId="0" fontId="1" fillId="0" borderId="0" xfId="0" applyFont="1" applyProtection="1"/>
    <xf numFmtId="0" fontId="3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1" fontId="3" fillId="2" borderId="5" xfId="0" applyNumberFormat="1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 wrapText="1"/>
    </xf>
    <xf numFmtId="0" fontId="3" fillId="0" borderId="1" xfId="0" applyFont="1" applyFill="1" applyBorder="1" applyAlignment="1" applyProtection="1"/>
    <xf numFmtId="0" fontId="3" fillId="0" borderId="3" xfId="0" applyFont="1" applyFill="1" applyBorder="1" applyAlignment="1" applyProtection="1">
      <alignment horizontal="left"/>
    </xf>
    <xf numFmtId="0" fontId="3" fillId="0" borderId="3" xfId="0" applyFont="1" applyFill="1" applyBorder="1" applyAlignment="1" applyProtection="1"/>
    <xf numFmtId="3" fontId="15" fillId="0" borderId="0" xfId="0" applyNumberFormat="1" applyFont="1" applyProtection="1"/>
    <xf numFmtId="1" fontId="15" fillId="0" borderId="0" xfId="0" applyNumberFormat="1" applyFont="1" applyProtection="1"/>
    <xf numFmtId="0" fontId="16" fillId="0" borderId="0" xfId="0" applyFont="1" applyProtection="1"/>
    <xf numFmtId="0" fontId="2" fillId="0" borderId="3" xfId="0" applyFont="1" applyBorder="1" applyAlignment="1" applyProtection="1"/>
    <xf numFmtId="0" fontId="2" fillId="0" borderId="4" xfId="0" applyFont="1" applyBorder="1" applyAlignment="1" applyProtection="1"/>
    <xf numFmtId="0" fontId="2" fillId="0" borderId="3" xfId="0" applyFont="1" applyFill="1" applyBorder="1" applyAlignment="1" applyProtection="1"/>
    <xf numFmtId="0" fontId="5" fillId="0" borderId="2" xfId="0" applyFont="1" applyFill="1" applyBorder="1" applyAlignment="1" applyProtection="1"/>
    <xf numFmtId="0" fontId="5" fillId="0" borderId="2" xfId="0" applyFont="1" applyFill="1" applyBorder="1" applyAlignment="1" applyProtection="1">
      <alignment horizontal="right"/>
    </xf>
    <xf numFmtId="0" fontId="2" fillId="0" borderId="4" xfId="0" applyFont="1" applyFill="1" applyBorder="1" applyAlignment="1" applyProtection="1"/>
    <xf numFmtId="0" fontId="3" fillId="0" borderId="4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/>
    </xf>
    <xf numFmtId="0" fontId="17" fillId="0" borderId="0" xfId="0" applyFont="1" applyProtection="1"/>
    <xf numFmtId="0" fontId="15" fillId="0" borderId="0" xfId="0" applyFont="1" applyProtection="1"/>
    <xf numFmtId="2" fontId="18" fillId="0" borderId="0" xfId="0" applyNumberFormat="1" applyFont="1" applyProtection="1"/>
    <xf numFmtId="0" fontId="3" fillId="0" borderId="6" xfId="0" applyFont="1" applyFill="1" applyBorder="1" applyAlignment="1" applyProtection="1"/>
    <xf numFmtId="0" fontId="3" fillId="0" borderId="2" xfId="0" applyFont="1" applyFill="1" applyBorder="1" applyAlignment="1" applyProtection="1"/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2" fontId="20" fillId="0" borderId="0" xfId="0" applyNumberFormat="1" applyFont="1" applyAlignment="1" applyProtection="1">
      <alignment horizontal="center"/>
    </xf>
    <xf numFmtId="0" fontId="3" fillId="0" borderId="7" xfId="0" applyFont="1" applyFill="1" applyBorder="1" applyAlignment="1" applyProtection="1"/>
    <xf numFmtId="188" fontId="3" fillId="0" borderId="1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3" fontId="5" fillId="0" borderId="5" xfId="2" applyNumberFormat="1" applyFont="1" applyFill="1" applyBorder="1" applyAlignment="1" applyProtection="1">
      <alignment horizontal="center"/>
      <protection locked="0"/>
    </xf>
    <xf numFmtId="3" fontId="5" fillId="0" borderId="1" xfId="2" applyNumberFormat="1" applyFont="1" applyFill="1" applyBorder="1" applyAlignment="1" applyProtection="1">
      <alignment horizontal="center"/>
      <protection locked="0"/>
    </xf>
    <xf numFmtId="49" fontId="5" fillId="0" borderId="0" xfId="0" applyNumberFormat="1" applyFont="1" applyFill="1" applyBorder="1" applyAlignment="1" applyProtection="1">
      <alignment horizontal="center"/>
    </xf>
    <xf numFmtId="188" fontId="7" fillId="3" borderId="5" xfId="0" applyNumberFormat="1" applyFont="1" applyFill="1" applyBorder="1" applyAlignment="1" applyProtection="1">
      <alignment horizontal="center"/>
    </xf>
    <xf numFmtId="0" fontId="5" fillId="0" borderId="8" xfId="0" applyFont="1" applyFill="1" applyBorder="1" applyAlignment="1" applyProtection="1"/>
    <xf numFmtId="0" fontId="5" fillId="0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4" fillId="0" borderId="10" xfId="0" applyFont="1" applyFill="1" applyBorder="1" applyAlignment="1" applyProtection="1">
      <alignment horizontal="left"/>
    </xf>
    <xf numFmtId="0" fontId="5" fillId="0" borderId="5" xfId="0" applyFont="1" applyFill="1" applyBorder="1" applyAlignment="1" applyProtection="1">
      <alignment horizontal="center"/>
    </xf>
    <xf numFmtId="189" fontId="5" fillId="0" borderId="5" xfId="2" applyNumberFormat="1" applyFont="1" applyFill="1" applyBorder="1" applyAlignment="1" applyProtection="1">
      <alignment horizontal="center"/>
    </xf>
    <xf numFmtId="189" fontId="5" fillId="0" borderId="1" xfId="2" applyNumberFormat="1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4" fillId="0" borderId="2" xfId="0" applyFont="1" applyFill="1" applyBorder="1" applyAlignment="1" applyProtection="1">
      <alignment horizontal="left"/>
    </xf>
    <xf numFmtId="0" fontId="4" fillId="0" borderId="10" xfId="0" applyFont="1" applyFill="1" applyBorder="1" applyAlignment="1" applyProtection="1">
      <alignment horizontal="center"/>
    </xf>
    <xf numFmtId="0" fontId="3" fillId="4" borderId="11" xfId="0" applyFont="1" applyFill="1" applyBorder="1" applyAlignment="1" applyProtection="1">
      <alignment horizontal="left" vertical="center"/>
    </xf>
    <xf numFmtId="0" fontId="3" fillId="4" borderId="11" xfId="0" applyFont="1" applyFill="1" applyBorder="1" applyAlignment="1" applyProtection="1"/>
    <xf numFmtId="0" fontId="3" fillId="4" borderId="11" xfId="0" applyFont="1" applyFill="1" applyBorder="1" applyAlignment="1" applyProtection="1">
      <alignment horizontal="right" vertical="center"/>
    </xf>
    <xf numFmtId="2" fontId="21" fillId="0" borderId="0" xfId="0" applyNumberFormat="1" applyFont="1" applyProtection="1"/>
    <xf numFmtId="0" fontId="5" fillId="0" borderId="6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189" fontId="5" fillId="0" borderId="3" xfId="2" applyNumberFormat="1" applyFont="1" applyFill="1" applyBorder="1" applyAlignment="1" applyProtection="1">
      <alignment horizontal="center"/>
    </xf>
    <xf numFmtId="3" fontId="5" fillId="0" borderId="3" xfId="2" applyNumberFormat="1" applyFont="1" applyFill="1" applyBorder="1" applyAlignment="1" applyProtection="1">
      <alignment horizontal="center"/>
    </xf>
    <xf numFmtId="189" fontId="5" fillId="0" borderId="12" xfId="2" applyNumberFormat="1" applyFont="1" applyFill="1" applyBorder="1" applyAlignment="1" applyProtection="1">
      <alignment horizontal="center"/>
    </xf>
    <xf numFmtId="3" fontId="5" fillId="0" borderId="12" xfId="2" applyNumberFormat="1" applyFont="1" applyFill="1" applyBorder="1" applyAlignment="1" applyProtection="1">
      <alignment horizontal="center"/>
    </xf>
    <xf numFmtId="189" fontId="5" fillId="0" borderId="13" xfId="2" applyNumberFormat="1" applyFont="1" applyFill="1" applyBorder="1" applyAlignment="1" applyProtection="1">
      <alignment horizontal="center"/>
    </xf>
    <xf numFmtId="3" fontId="5" fillId="0" borderId="13" xfId="2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189" fontId="5" fillId="0" borderId="0" xfId="2" applyNumberFormat="1" applyFont="1" applyFill="1" applyBorder="1" applyAlignment="1" applyProtection="1">
      <alignment horizontal="center"/>
    </xf>
    <xf numFmtId="189" fontId="5" fillId="0" borderId="10" xfId="2" applyNumberFormat="1" applyFont="1" applyFill="1" applyBorder="1" applyAlignment="1" applyProtection="1">
      <alignment horizontal="center"/>
    </xf>
    <xf numFmtId="0" fontId="1" fillId="0" borderId="0" xfId="0" applyFont="1" applyFill="1" applyProtection="1"/>
    <xf numFmtId="0" fontId="4" fillId="0" borderId="7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left"/>
    </xf>
    <xf numFmtId="0" fontId="4" fillId="0" borderId="14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/>
    <xf numFmtId="0" fontId="4" fillId="0" borderId="7" xfId="0" applyFont="1" applyFill="1" applyBorder="1" applyAlignment="1" applyProtection="1">
      <alignment horizontal="right"/>
    </xf>
    <xf numFmtId="0" fontId="4" fillId="0" borderId="11" xfId="0" applyFont="1" applyFill="1" applyBorder="1" applyAlignment="1" applyProtection="1">
      <alignment horizontal="center"/>
      <protection locked="0"/>
    </xf>
    <xf numFmtId="49" fontId="22" fillId="0" borderId="0" xfId="0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>
      <alignment horizontal="center"/>
    </xf>
    <xf numFmtId="49" fontId="5" fillId="0" borderId="2" xfId="0" applyNumberFormat="1" applyFont="1" applyFill="1" applyBorder="1" applyAlignment="1" applyProtection="1">
      <alignment horizontal="left"/>
    </xf>
    <xf numFmtId="49" fontId="5" fillId="0" borderId="0" xfId="0" applyNumberFormat="1" applyFont="1" applyFill="1" applyBorder="1" applyAlignment="1" applyProtection="1">
      <alignment horizontal="right"/>
    </xf>
    <xf numFmtId="2" fontId="5" fillId="0" borderId="0" xfId="0" applyNumberFormat="1" applyFont="1" applyFill="1" applyBorder="1" applyAlignment="1" applyProtection="1">
      <alignment horizontal="center"/>
    </xf>
    <xf numFmtId="187" fontId="3" fillId="0" borderId="6" xfId="2" applyFont="1" applyFill="1" applyBorder="1" applyAlignment="1" applyProtection="1">
      <alignment horizontal="center"/>
    </xf>
    <xf numFmtId="187" fontId="3" fillId="0" borderId="1" xfId="2" applyFont="1" applyFill="1" applyBorder="1" applyAlignment="1" applyProtection="1">
      <alignment horizontal="center"/>
    </xf>
    <xf numFmtId="187" fontId="5" fillId="0" borderId="15" xfId="2" applyFont="1" applyFill="1" applyBorder="1" applyAlignment="1" applyProtection="1">
      <alignment horizontal="center"/>
      <protection locked="0"/>
    </xf>
    <xf numFmtId="187" fontId="23" fillId="0" borderId="15" xfId="2" applyFont="1" applyFill="1" applyBorder="1" applyAlignment="1" applyProtection="1">
      <alignment horizontal="center"/>
      <protection locked="0"/>
    </xf>
    <xf numFmtId="187" fontId="24" fillId="0" borderId="15" xfId="2" applyFont="1" applyFill="1" applyBorder="1" applyAlignment="1" applyProtection="1">
      <alignment horizontal="center"/>
      <protection locked="0"/>
    </xf>
    <xf numFmtId="190" fontId="24" fillId="0" borderId="1" xfId="2" applyNumberFormat="1" applyFont="1" applyFill="1" applyBorder="1" applyAlignment="1" applyProtection="1">
      <alignment horizontal="center"/>
      <protection locked="0"/>
    </xf>
    <xf numFmtId="190" fontId="3" fillId="0" borderId="3" xfId="0" applyNumberFormat="1" applyFont="1" applyFill="1" applyBorder="1" applyAlignment="1" applyProtection="1">
      <alignment horizontal="center"/>
    </xf>
    <xf numFmtId="190" fontId="3" fillId="0" borderId="4" xfId="0" applyNumberFormat="1" applyFont="1" applyFill="1" applyBorder="1" applyAlignment="1" applyProtection="1">
      <alignment horizontal="center"/>
    </xf>
    <xf numFmtId="190" fontId="3" fillId="0" borderId="10" xfId="0" applyNumberFormat="1" applyFont="1" applyFill="1" applyBorder="1" applyAlignment="1" applyProtection="1">
      <alignment horizontal="center"/>
    </xf>
    <xf numFmtId="190" fontId="3" fillId="0" borderId="14" xfId="0" applyNumberFormat="1" applyFont="1" applyFill="1" applyBorder="1" applyAlignment="1" applyProtection="1">
      <alignment horizontal="center"/>
    </xf>
    <xf numFmtId="0" fontId="1" fillId="0" borderId="0" xfId="3" applyFont="1" applyProtection="1"/>
    <xf numFmtId="0" fontId="3" fillId="4" borderId="11" xfId="3" applyFont="1" applyFill="1" applyBorder="1" applyAlignment="1" applyProtection="1">
      <alignment horizontal="left" vertical="center"/>
    </xf>
    <xf numFmtId="0" fontId="3" fillId="4" borderId="11" xfId="3" applyFont="1" applyFill="1" applyBorder="1" applyAlignment="1" applyProtection="1"/>
    <xf numFmtId="0" fontId="3" fillId="4" borderId="11" xfId="3" applyFont="1" applyFill="1" applyBorder="1" applyAlignment="1" applyProtection="1">
      <alignment horizontal="right" vertical="center"/>
    </xf>
    <xf numFmtId="0" fontId="3" fillId="2" borderId="1" xfId="3" applyFont="1" applyFill="1" applyBorder="1" applyAlignment="1" applyProtection="1">
      <alignment horizontal="center"/>
    </xf>
    <xf numFmtId="0" fontId="5" fillId="2" borderId="1" xfId="3" applyFont="1" applyFill="1" applyBorder="1" applyAlignment="1" applyProtection="1">
      <alignment horizontal="center" wrapText="1"/>
    </xf>
    <xf numFmtId="0" fontId="1" fillId="0" borderId="0" xfId="3" applyFont="1" applyAlignment="1" applyProtection="1">
      <alignment horizontal="center"/>
    </xf>
    <xf numFmtId="0" fontId="3" fillId="2" borderId="4" xfId="3" applyFont="1" applyFill="1" applyBorder="1" applyAlignment="1" applyProtection="1">
      <alignment horizontal="center"/>
    </xf>
    <xf numFmtId="1" fontId="3" fillId="2" borderId="5" xfId="3" applyNumberFormat="1" applyFont="1" applyFill="1" applyBorder="1" applyAlignment="1" applyProtection="1">
      <alignment horizontal="center"/>
    </xf>
    <xf numFmtId="0" fontId="5" fillId="2" borderId="4" xfId="3" applyFont="1" applyFill="1" applyBorder="1" applyAlignment="1" applyProtection="1">
      <alignment horizontal="center" wrapText="1"/>
    </xf>
    <xf numFmtId="0" fontId="3" fillId="0" borderId="1" xfId="3" applyFont="1" applyFill="1" applyBorder="1" applyAlignment="1" applyProtection="1"/>
    <xf numFmtId="9" fontId="13" fillId="0" borderId="1" xfId="3" applyNumberFormat="1" applyFont="1" applyFill="1" applyBorder="1" applyAlignment="1" applyProtection="1">
      <alignment horizontal="center" wrapText="1"/>
    </xf>
    <xf numFmtId="0" fontId="5" fillId="0" borderId="6" xfId="3" applyFont="1" applyFill="1" applyBorder="1" applyAlignment="1" applyProtection="1">
      <alignment horizontal="left"/>
    </xf>
    <xf numFmtId="0" fontId="5" fillId="0" borderId="8" xfId="3" applyFont="1" applyFill="1" applyBorder="1" applyAlignment="1" applyProtection="1"/>
    <xf numFmtId="0" fontId="5" fillId="0" borderId="9" xfId="3" applyFont="1" applyFill="1" applyBorder="1" applyAlignment="1" applyProtection="1"/>
    <xf numFmtId="187" fontId="24" fillId="0" borderId="1" xfId="2" applyFont="1" applyFill="1" applyBorder="1" applyAlignment="1" applyProtection="1">
      <alignment horizontal="center"/>
      <protection locked="0"/>
    </xf>
    <xf numFmtId="188" fontId="3" fillId="0" borderId="1" xfId="3" applyNumberFormat="1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left"/>
    </xf>
    <xf numFmtId="0" fontId="5" fillId="0" borderId="2" xfId="3" applyFont="1" applyFill="1" applyBorder="1" applyAlignment="1" applyProtection="1">
      <alignment horizontal="center"/>
    </xf>
    <xf numFmtId="0" fontId="13" fillId="0" borderId="3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0" fontId="4" fillId="0" borderId="0" xfId="3" applyFont="1" applyFill="1" applyBorder="1" applyAlignment="1" applyProtection="1">
      <alignment horizontal="center"/>
    </xf>
    <xf numFmtId="187" fontId="4" fillId="0" borderId="15" xfId="2" applyFont="1" applyFill="1" applyBorder="1" applyAlignment="1" applyProtection="1">
      <alignment horizontal="center"/>
      <protection locked="0"/>
    </xf>
    <xf numFmtId="0" fontId="4" fillId="0" borderId="10" xfId="3" applyFont="1" applyFill="1" applyBorder="1" applyAlignment="1" applyProtection="1">
      <alignment horizontal="left"/>
    </xf>
    <xf numFmtId="0" fontId="3" fillId="0" borderId="3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/>
    <xf numFmtId="0" fontId="5" fillId="0" borderId="3" xfId="3" applyFont="1" applyFill="1" applyBorder="1" applyAlignment="1" applyProtection="1">
      <alignment horizontal="center"/>
    </xf>
    <xf numFmtId="0" fontId="4" fillId="0" borderId="4" xfId="3" applyFont="1" applyBorder="1" applyAlignment="1" applyProtection="1">
      <alignment horizontal="center"/>
    </xf>
    <xf numFmtId="0" fontId="4" fillId="0" borderId="2" xfId="3" applyFont="1" applyFill="1" applyBorder="1" applyAlignment="1" applyProtection="1">
      <alignment horizontal="center"/>
    </xf>
    <xf numFmtId="0" fontId="4" fillId="0" borderId="10" xfId="3" applyFont="1" applyFill="1" applyBorder="1" applyAlignment="1" applyProtection="1">
      <alignment horizontal="center"/>
    </xf>
    <xf numFmtId="3" fontId="9" fillId="0" borderId="3" xfId="3" applyNumberFormat="1" applyFont="1" applyBorder="1" applyAlignment="1" applyProtection="1">
      <alignment wrapText="1"/>
    </xf>
    <xf numFmtId="3" fontId="9" fillId="0" borderId="3" xfId="3" applyNumberFormat="1" applyFont="1" applyBorder="1" applyAlignment="1" applyProtection="1">
      <alignment horizontal="center" wrapText="1"/>
    </xf>
    <xf numFmtId="3" fontId="15" fillId="0" borderId="0" xfId="3" applyNumberFormat="1" applyFont="1" applyProtection="1"/>
    <xf numFmtId="1" fontId="15" fillId="0" borderId="0" xfId="3" applyNumberFormat="1" applyFont="1" applyProtection="1"/>
    <xf numFmtId="0" fontId="9" fillId="0" borderId="3" xfId="3" applyFont="1" applyBorder="1" applyAlignment="1" applyProtection="1">
      <alignment horizontal="center" wrapText="1"/>
    </xf>
    <xf numFmtId="0" fontId="5" fillId="0" borderId="5" xfId="3" applyFont="1" applyFill="1" applyBorder="1" applyAlignment="1" applyProtection="1">
      <alignment horizontal="center"/>
    </xf>
    <xf numFmtId="0" fontId="16" fillId="0" borderId="0" xfId="3" applyFont="1" applyProtection="1"/>
    <xf numFmtId="0" fontId="4" fillId="0" borderId="3" xfId="3" applyFont="1" applyBorder="1" applyAlignment="1" applyProtection="1">
      <alignment horizontal="center" wrapText="1"/>
    </xf>
    <xf numFmtId="0" fontId="4" fillId="0" borderId="3" xfId="3" applyFont="1" applyBorder="1" applyAlignment="1" applyProtection="1">
      <alignment horizontal="center" vertical="center" wrapText="1"/>
    </xf>
    <xf numFmtId="0" fontId="4" fillId="0" borderId="3" xfId="3" applyFont="1" applyBorder="1" applyAlignment="1" applyProtection="1">
      <alignment horizontal="center"/>
    </xf>
    <xf numFmtId="0" fontId="5" fillId="0" borderId="9" xfId="3" applyFont="1" applyFill="1" applyBorder="1" applyAlignment="1" applyProtection="1">
      <alignment horizontal="left"/>
    </xf>
    <xf numFmtId="0" fontId="5" fillId="0" borderId="0" xfId="3" applyFont="1" applyFill="1" applyBorder="1" applyAlignment="1" applyProtection="1">
      <alignment horizontal="center"/>
    </xf>
    <xf numFmtId="9" fontId="13" fillId="0" borderId="1" xfId="3" applyNumberFormat="1" applyFont="1" applyBorder="1" applyAlignment="1" applyProtection="1">
      <alignment horizontal="center" wrapText="1"/>
    </xf>
    <xf numFmtId="0" fontId="2" fillId="0" borderId="3" xfId="3" applyFont="1" applyBorder="1" applyAlignment="1" applyProtection="1"/>
    <xf numFmtId="0" fontId="1" fillId="0" borderId="0" xfId="3" applyFont="1" applyFill="1" applyProtection="1"/>
    <xf numFmtId="0" fontId="5" fillId="0" borderId="0" xfId="3" applyFont="1" applyFill="1" applyBorder="1" applyAlignment="1" applyProtection="1">
      <alignment horizontal="right"/>
    </xf>
    <xf numFmtId="0" fontId="5" fillId="0" borderId="10" xfId="3" applyFont="1" applyFill="1" applyBorder="1" applyAlignment="1" applyProtection="1">
      <alignment horizontal="left"/>
    </xf>
    <xf numFmtId="0" fontId="2" fillId="0" borderId="4" xfId="3" applyFont="1" applyBorder="1" applyAlignment="1" applyProtection="1"/>
    <xf numFmtId="0" fontId="5" fillId="0" borderId="4" xfId="3" applyFont="1" applyFill="1" applyBorder="1" applyAlignment="1" applyProtection="1">
      <alignment horizontal="center"/>
    </xf>
    <xf numFmtId="0" fontId="3" fillId="0" borderId="4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5" fillId="0" borderId="2" xfId="3" applyFont="1" applyFill="1" applyBorder="1" applyAlignment="1" applyProtection="1"/>
    <xf numFmtId="0" fontId="5" fillId="0" borderId="2" xfId="3" applyFont="1" applyFill="1" applyBorder="1" applyAlignment="1" applyProtection="1">
      <alignment horizontal="right"/>
    </xf>
    <xf numFmtId="0" fontId="2" fillId="0" borderId="4" xfId="3" applyFont="1" applyFill="1" applyBorder="1" applyAlignment="1" applyProtection="1"/>
    <xf numFmtId="0" fontId="4" fillId="0" borderId="7" xfId="3" applyFont="1" applyFill="1" applyBorder="1" applyAlignment="1" applyProtection="1">
      <alignment horizontal="left"/>
    </xf>
    <xf numFmtId="0" fontId="4" fillId="0" borderId="11" xfId="3" applyFont="1" applyFill="1" applyBorder="1" applyAlignment="1" applyProtection="1">
      <alignment horizontal="left"/>
    </xf>
    <xf numFmtId="0" fontId="4" fillId="0" borderId="14" xfId="3" applyFont="1" applyFill="1" applyBorder="1" applyAlignment="1" applyProtection="1">
      <alignment horizontal="left"/>
    </xf>
    <xf numFmtId="9" fontId="13" fillId="0" borderId="1" xfId="3" applyNumberFormat="1" applyFont="1" applyBorder="1" applyAlignment="1" applyProtection="1">
      <alignment horizontal="center" vertical="top" wrapText="1"/>
    </xf>
    <xf numFmtId="0" fontId="5" fillId="0" borderId="2" xfId="3" applyFont="1" applyFill="1" applyBorder="1" applyAlignment="1" applyProtection="1">
      <alignment horizontal="left"/>
    </xf>
    <xf numFmtId="0" fontId="4" fillId="0" borderId="2" xfId="3" applyFont="1" applyFill="1" applyBorder="1" applyAlignment="1" applyProtection="1">
      <alignment horizontal="left"/>
    </xf>
    <xf numFmtId="0" fontId="4" fillId="0" borderId="11" xfId="3" applyFont="1" applyFill="1" applyBorder="1" applyAlignment="1" applyProtection="1">
      <alignment horizontal="center"/>
    </xf>
    <xf numFmtId="0" fontId="4" fillId="0" borderId="14" xfId="3" applyFont="1" applyFill="1" applyBorder="1" applyAlignment="1" applyProtection="1">
      <alignment horizontal="center"/>
    </xf>
    <xf numFmtId="9" fontId="9" fillId="0" borderId="1" xfId="3" applyNumberFormat="1" applyFont="1" applyFill="1" applyBorder="1" applyAlignment="1" applyProtection="1">
      <alignment horizontal="center" vertical="top" wrapText="1"/>
    </xf>
    <xf numFmtId="0" fontId="4" fillId="0" borderId="3" xfId="3" applyFont="1" applyFill="1" applyBorder="1" applyAlignment="1" applyProtection="1">
      <alignment horizontal="center"/>
    </xf>
    <xf numFmtId="0" fontId="5" fillId="0" borderId="10" xfId="3" applyFont="1" applyFill="1" applyBorder="1" applyAlignment="1" applyProtection="1"/>
    <xf numFmtId="0" fontId="13" fillId="0" borderId="3" xfId="3" applyFont="1" applyBorder="1" applyAlignment="1" applyProtection="1">
      <alignment horizontal="center" vertical="top" wrapText="1"/>
    </xf>
    <xf numFmtId="9" fontId="13" fillId="0" borderId="3" xfId="3" applyNumberFormat="1" applyFont="1" applyBorder="1" applyAlignment="1" applyProtection="1">
      <alignment horizontal="center" vertical="top" wrapText="1"/>
    </xf>
    <xf numFmtId="0" fontId="3" fillId="0" borderId="4" xfId="3" applyFont="1" applyFill="1" applyBorder="1" applyAlignment="1" applyProtection="1"/>
    <xf numFmtId="0" fontId="4" fillId="0" borderId="4" xfId="3" applyFont="1" applyFill="1" applyBorder="1" applyAlignment="1" applyProtection="1">
      <alignment horizontal="center"/>
    </xf>
    <xf numFmtId="0" fontId="4" fillId="0" borderId="7" xfId="3" applyFont="1" applyFill="1" applyBorder="1" applyAlignment="1" applyProtection="1">
      <alignment horizontal="right"/>
    </xf>
    <xf numFmtId="0" fontId="4" fillId="0" borderId="11" xfId="3" applyFont="1" applyFill="1" applyBorder="1" applyAlignment="1" applyProtection="1">
      <alignment horizontal="center"/>
      <protection locked="0"/>
    </xf>
    <xf numFmtId="9" fontId="14" fillId="0" borderId="3" xfId="3" applyNumberFormat="1" applyFont="1" applyBorder="1" applyAlignment="1" applyProtection="1">
      <alignment horizontal="center" vertical="top" wrapText="1"/>
    </xf>
    <xf numFmtId="49" fontId="22" fillId="0" borderId="0" xfId="3" applyNumberFormat="1" applyFont="1" applyFill="1" applyBorder="1" applyAlignment="1" applyProtection="1">
      <alignment horizontal="center"/>
    </xf>
    <xf numFmtId="0" fontId="5" fillId="0" borderId="10" xfId="3" applyFont="1" applyFill="1" applyBorder="1" applyAlignment="1" applyProtection="1">
      <alignment horizontal="center"/>
    </xf>
    <xf numFmtId="9" fontId="3" fillId="0" borderId="1" xfId="3" applyNumberFormat="1" applyFont="1" applyFill="1" applyBorder="1" applyAlignment="1" applyProtection="1">
      <alignment horizontal="center"/>
    </xf>
    <xf numFmtId="49" fontId="5" fillId="0" borderId="2" xfId="3" applyNumberFormat="1" applyFont="1" applyFill="1" applyBorder="1" applyAlignment="1" applyProtection="1">
      <alignment horizontal="left"/>
    </xf>
    <xf numFmtId="49" fontId="5" fillId="0" borderId="0" xfId="3" applyNumberFormat="1" applyFont="1" applyFill="1" applyBorder="1" applyAlignment="1" applyProtection="1">
      <alignment horizontal="right"/>
    </xf>
    <xf numFmtId="0" fontId="4" fillId="0" borderId="3" xfId="3" applyFont="1" applyFill="1" applyBorder="1" applyAlignment="1" applyProtection="1">
      <alignment horizontal="left"/>
    </xf>
    <xf numFmtId="49" fontId="5" fillId="0" borderId="0" xfId="3" applyNumberFormat="1" applyFont="1" applyFill="1" applyBorder="1" applyAlignment="1" applyProtection="1">
      <alignment horizontal="center"/>
    </xf>
    <xf numFmtId="0" fontId="17" fillId="0" borderId="0" xfId="3" applyFont="1" applyProtection="1"/>
    <xf numFmtId="0" fontId="15" fillId="0" borderId="0" xfId="3" applyFont="1" applyProtection="1"/>
    <xf numFmtId="2" fontId="18" fillId="0" borderId="0" xfId="3" applyNumberFormat="1" applyFont="1" applyProtection="1"/>
    <xf numFmtId="0" fontId="3" fillId="0" borderId="6" xfId="3" applyFont="1" applyFill="1" applyBorder="1" applyAlignment="1" applyProtection="1"/>
    <xf numFmtId="0" fontId="3" fillId="0" borderId="1" xfId="3" applyFont="1" applyFill="1" applyBorder="1" applyAlignment="1" applyProtection="1">
      <alignment horizontal="center"/>
    </xf>
    <xf numFmtId="0" fontId="3" fillId="0" borderId="2" xfId="3" applyFont="1" applyFill="1" applyBorder="1" applyAlignment="1" applyProtection="1"/>
    <xf numFmtId="2" fontId="5" fillId="0" borderId="3" xfId="3" applyNumberFormat="1" applyFont="1" applyFill="1" applyBorder="1" applyAlignment="1" applyProtection="1">
      <alignment horizontal="center"/>
    </xf>
    <xf numFmtId="2" fontId="5" fillId="0" borderId="0" xfId="3" applyNumberFormat="1" applyFont="1" applyFill="1" applyBorder="1" applyAlignment="1" applyProtection="1">
      <alignment horizontal="center"/>
    </xf>
    <xf numFmtId="0" fontId="3" fillId="0" borderId="10" xfId="3" applyFont="1" applyFill="1" applyBorder="1" applyAlignment="1" applyProtection="1">
      <alignment horizontal="center"/>
    </xf>
    <xf numFmtId="0" fontId="19" fillId="0" borderId="0" xfId="3" applyFont="1" applyAlignment="1" applyProtection="1">
      <alignment horizontal="center"/>
    </xf>
    <xf numFmtId="0" fontId="20" fillId="0" borderId="0" xfId="3" applyFont="1" applyAlignment="1" applyProtection="1">
      <alignment horizontal="center"/>
    </xf>
    <xf numFmtId="2" fontId="20" fillId="0" borderId="0" xfId="3" applyNumberFormat="1" applyFont="1" applyAlignment="1" applyProtection="1">
      <alignment horizontal="center"/>
    </xf>
    <xf numFmtId="0" fontId="3" fillId="0" borderId="7" xfId="3" applyFont="1" applyFill="1" applyBorder="1" applyAlignment="1" applyProtection="1"/>
    <xf numFmtId="2" fontId="5" fillId="0" borderId="4" xfId="3" applyNumberFormat="1" applyFont="1" applyFill="1" applyBorder="1" applyAlignment="1" applyProtection="1">
      <alignment horizontal="center"/>
    </xf>
    <xf numFmtId="0" fontId="3" fillId="0" borderId="14" xfId="3" applyFont="1" applyFill="1" applyBorder="1" applyAlignment="1" applyProtection="1">
      <alignment horizontal="center"/>
    </xf>
    <xf numFmtId="1" fontId="5" fillId="0" borderId="3" xfId="3" applyNumberFormat="1" applyFont="1" applyFill="1" applyBorder="1" applyAlignment="1" applyProtection="1">
      <alignment horizontal="center"/>
    </xf>
    <xf numFmtId="188" fontId="7" fillId="3" borderId="5" xfId="3" applyNumberFormat="1" applyFont="1" applyFill="1" applyBorder="1" applyAlignment="1" applyProtection="1">
      <alignment horizontal="center"/>
    </xf>
    <xf numFmtId="2" fontId="21" fillId="0" borderId="0" xfId="3" applyNumberFormat="1" applyFont="1" applyProtection="1"/>
    <xf numFmtId="0" fontId="5" fillId="0" borderId="5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10" xfId="0" applyFont="1" applyFill="1" applyBorder="1" applyAlignment="1" applyProtection="1"/>
    <xf numFmtId="190" fontId="23" fillId="0" borderId="15" xfId="2" applyNumberFormat="1" applyFont="1" applyFill="1" applyBorder="1" applyAlignment="1" applyProtection="1">
      <alignment horizontal="center"/>
      <protection locked="0"/>
    </xf>
    <xf numFmtId="189" fontId="5" fillId="0" borderId="15" xfId="2" applyNumberFormat="1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10" xfId="0" applyFont="1" applyFill="1" applyBorder="1" applyAlignment="1" applyProtection="1"/>
    <xf numFmtId="0" fontId="5" fillId="0" borderId="5" xfId="0" applyFont="1" applyFill="1" applyBorder="1" applyAlignment="1" applyProtection="1">
      <alignment horizontal="center"/>
    </xf>
    <xf numFmtId="3" fontId="9" fillId="5" borderId="3" xfId="0" applyNumberFormat="1" applyFont="1" applyFill="1" applyBorder="1" applyAlignment="1" applyProtection="1">
      <alignment wrapText="1"/>
    </xf>
    <xf numFmtId="3" fontId="4" fillId="5" borderId="3" xfId="0" applyNumberFormat="1" applyFont="1" applyFill="1" applyBorder="1" applyAlignment="1" applyProtection="1">
      <alignment horizontal="center" wrapText="1"/>
    </xf>
    <xf numFmtId="3" fontId="9" fillId="0" borderId="3" xfId="0" applyNumberFormat="1" applyFont="1" applyFill="1" applyBorder="1" applyAlignment="1" applyProtection="1">
      <alignment wrapText="1"/>
    </xf>
    <xf numFmtId="3" fontId="4" fillId="0" borderId="3" xfId="0" applyNumberFormat="1" applyFont="1" applyFill="1" applyBorder="1" applyAlignment="1" applyProtection="1">
      <alignment horizontal="center" wrapText="1"/>
    </xf>
    <xf numFmtId="9" fontId="9" fillId="0" borderId="1" xfId="0" applyNumberFormat="1" applyFont="1" applyFill="1" applyBorder="1" applyAlignment="1" applyProtection="1">
      <alignment horizontal="center" wrapText="1"/>
    </xf>
    <xf numFmtId="190" fontId="3" fillId="0" borderId="1" xfId="2" applyNumberFormat="1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Alignment="1" applyProtection="1">
      <alignment horizontal="center"/>
    </xf>
    <xf numFmtId="187" fontId="3" fillId="0" borderId="15" xfId="2" applyFont="1" applyFill="1" applyBorder="1" applyAlignment="1" applyProtection="1">
      <alignment horizontal="center"/>
      <protection locked="0"/>
    </xf>
    <xf numFmtId="190" fontId="5" fillId="0" borderId="15" xfId="2" applyNumberFormat="1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left" vertical="center"/>
    </xf>
    <xf numFmtId="0" fontId="3" fillId="0" borderId="11" xfId="0" applyFont="1" applyFill="1" applyBorder="1" applyAlignment="1" applyProtection="1"/>
    <xf numFmtId="0" fontId="3" fillId="0" borderId="11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wrapText="1"/>
    </xf>
    <xf numFmtId="0" fontId="1" fillId="0" borderId="0" xfId="0" applyFont="1" applyFill="1" applyAlignment="1" applyProtection="1">
      <alignment horizontal="center"/>
    </xf>
    <xf numFmtId="1" fontId="3" fillId="0" borderId="5" xfId="0" applyNumberFormat="1" applyFont="1" applyFill="1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 wrapText="1"/>
    </xf>
    <xf numFmtId="3" fontId="1" fillId="0" borderId="0" xfId="0" applyNumberFormat="1" applyFont="1" applyFill="1" applyProtection="1"/>
    <xf numFmtId="1" fontId="1" fillId="0" borderId="0" xfId="0" applyNumberFormat="1" applyFont="1" applyFill="1" applyProtection="1"/>
    <xf numFmtId="0" fontId="9" fillId="0" borderId="3" xfId="0" applyFont="1" applyFill="1" applyBorder="1" applyAlignment="1" applyProtection="1">
      <alignment horizontal="center" wrapText="1"/>
    </xf>
    <xf numFmtId="0" fontId="25" fillId="0" borderId="0" xfId="0" applyFont="1" applyFill="1" applyProtection="1"/>
    <xf numFmtId="0" fontId="4" fillId="0" borderId="3" xfId="0" applyFont="1" applyFill="1" applyBorder="1" applyAlignment="1" applyProtection="1">
      <alignment horizont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top" wrapText="1"/>
    </xf>
    <xf numFmtId="9" fontId="9" fillId="0" borderId="3" xfId="0" applyNumberFormat="1" applyFont="1" applyFill="1" applyBorder="1" applyAlignment="1" applyProtection="1">
      <alignment horizontal="center" vertical="top" wrapText="1"/>
    </xf>
    <xf numFmtId="9" fontId="4" fillId="0" borderId="3" xfId="0" applyNumberFormat="1" applyFont="1" applyFill="1" applyBorder="1" applyAlignment="1" applyProtection="1">
      <alignment horizontal="center" vertical="top" wrapText="1"/>
    </xf>
    <xf numFmtId="0" fontId="26" fillId="0" borderId="0" xfId="1" applyFont="1" applyFill="1" applyAlignment="1" applyProtection="1"/>
    <xf numFmtId="2" fontId="27" fillId="0" borderId="0" xfId="0" applyNumberFormat="1" applyFont="1" applyFill="1" applyProtection="1"/>
    <xf numFmtId="0" fontId="28" fillId="0" borderId="0" xfId="0" applyFont="1" applyFill="1" applyAlignment="1" applyProtection="1">
      <alignment horizontal="center"/>
    </xf>
    <xf numFmtId="2" fontId="28" fillId="0" borderId="0" xfId="0" applyNumberFormat="1" applyFont="1" applyFill="1" applyAlignment="1" applyProtection="1">
      <alignment horizontal="center"/>
    </xf>
    <xf numFmtId="188" fontId="7" fillId="0" borderId="5" xfId="0" applyNumberFormat="1" applyFont="1" applyFill="1" applyBorder="1" applyAlignment="1" applyProtection="1">
      <alignment horizontal="center"/>
    </xf>
    <xf numFmtId="2" fontId="21" fillId="0" borderId="0" xfId="0" applyNumberFormat="1" applyFont="1" applyFill="1" applyProtection="1"/>
    <xf numFmtId="0" fontId="5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10" xfId="0" applyFont="1" applyFill="1" applyBorder="1" applyAlignment="1" applyProtection="1"/>
    <xf numFmtId="0" fontId="5" fillId="0" borderId="5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10" xfId="0" applyFont="1" applyFill="1" applyBorder="1" applyAlignment="1" applyProtection="1"/>
    <xf numFmtId="0" fontId="5" fillId="0" borderId="5" xfId="0" applyFont="1" applyFill="1" applyBorder="1" applyAlignment="1" applyProtection="1">
      <alignment horizontal="center"/>
    </xf>
    <xf numFmtId="189" fontId="23" fillId="0" borderId="15" xfId="2" applyNumberFormat="1" applyFont="1" applyFill="1" applyBorder="1" applyAlignment="1" applyProtection="1">
      <alignment horizontal="center"/>
      <protection locked="0"/>
    </xf>
    <xf numFmtId="3" fontId="23" fillId="0" borderId="5" xfId="2" applyNumberFormat="1" applyFont="1" applyFill="1" applyBorder="1" applyAlignment="1" applyProtection="1">
      <alignment horizontal="center"/>
      <protection locked="0"/>
    </xf>
    <xf numFmtId="3" fontId="23" fillId="0" borderId="13" xfId="2" applyNumberFormat="1" applyFont="1" applyFill="1" applyBorder="1" applyAlignment="1" applyProtection="1">
      <alignment horizontal="center"/>
    </xf>
    <xf numFmtId="0" fontId="31" fillId="0" borderId="0" xfId="0" applyFont="1" applyFill="1" applyProtection="1"/>
    <xf numFmtId="0" fontId="32" fillId="0" borderId="11" xfId="0" applyFont="1" applyFill="1" applyBorder="1" applyAlignment="1" applyProtection="1">
      <alignment horizontal="left" vertical="center"/>
    </xf>
    <xf numFmtId="0" fontId="32" fillId="0" borderId="11" xfId="0" applyFont="1" applyFill="1" applyBorder="1" applyAlignment="1" applyProtection="1"/>
    <xf numFmtId="0" fontId="32" fillId="0" borderId="11" xfId="0" applyFont="1" applyFill="1" applyBorder="1" applyAlignment="1" applyProtection="1">
      <alignment horizontal="right" vertical="center"/>
    </xf>
    <xf numFmtId="0" fontId="32" fillId="0" borderId="1" xfId="0" applyFont="1" applyFill="1" applyBorder="1" applyAlignment="1" applyProtection="1">
      <alignment horizontal="center"/>
    </xf>
    <xf numFmtId="0" fontId="33" fillId="0" borderId="1" xfId="0" applyFont="1" applyFill="1" applyBorder="1" applyAlignment="1" applyProtection="1">
      <alignment horizontal="center" wrapText="1"/>
    </xf>
    <xf numFmtId="0" fontId="31" fillId="0" borderId="0" xfId="0" applyFont="1" applyFill="1" applyAlignment="1" applyProtection="1">
      <alignment horizontal="center"/>
    </xf>
    <xf numFmtId="0" fontId="32" fillId="0" borderId="4" xfId="0" applyFont="1" applyFill="1" applyBorder="1" applyAlignment="1" applyProtection="1">
      <alignment horizontal="center"/>
    </xf>
    <xf numFmtId="1" fontId="32" fillId="0" borderId="5" xfId="0" applyNumberFormat="1" applyFont="1" applyFill="1" applyBorder="1" applyAlignment="1" applyProtection="1">
      <alignment horizontal="center"/>
    </xf>
    <xf numFmtId="0" fontId="33" fillId="0" borderId="4" xfId="0" applyFont="1" applyFill="1" applyBorder="1" applyAlignment="1" applyProtection="1">
      <alignment horizontal="center" wrapText="1"/>
    </xf>
    <xf numFmtId="187" fontId="32" fillId="0" borderId="6" xfId="2" applyFont="1" applyFill="1" applyBorder="1" applyAlignment="1" applyProtection="1">
      <alignment horizontal="center"/>
    </xf>
    <xf numFmtId="190" fontId="35" fillId="0" borderId="1" xfId="2" applyNumberFormat="1" applyFont="1" applyFill="1" applyBorder="1" applyAlignment="1" applyProtection="1">
      <alignment horizontal="center"/>
      <protection locked="0"/>
    </xf>
    <xf numFmtId="1" fontId="31" fillId="0" borderId="0" xfId="0" applyNumberFormat="1" applyFont="1" applyFill="1" applyProtection="1"/>
    <xf numFmtId="0" fontId="37" fillId="0" borderId="0" xfId="1" applyFont="1" applyFill="1" applyAlignment="1" applyProtection="1"/>
    <xf numFmtId="2" fontId="38" fillId="0" borderId="0" xfId="0" applyNumberFormat="1" applyFont="1" applyFill="1" applyProtection="1"/>
    <xf numFmtId="0" fontId="33" fillId="0" borderId="0" xfId="0" applyFont="1" applyFill="1" applyAlignment="1" applyProtection="1">
      <alignment horizontal="center"/>
    </xf>
    <xf numFmtId="2" fontId="33" fillId="0" borderId="0" xfId="0" applyNumberFormat="1" applyFont="1" applyFill="1" applyAlignment="1" applyProtection="1">
      <alignment horizontal="center"/>
    </xf>
    <xf numFmtId="0" fontId="29" fillId="0" borderId="16" xfId="0" applyFont="1" applyFill="1" applyBorder="1" applyAlignment="1" applyProtection="1"/>
    <xf numFmtId="2" fontId="32" fillId="0" borderId="5" xfId="0" applyNumberFormat="1" applyFont="1" applyFill="1" applyBorder="1" applyProtection="1"/>
    <xf numFmtId="0" fontId="29" fillId="0" borderId="17" xfId="0" applyFont="1" applyFill="1" applyBorder="1" applyAlignment="1" applyProtection="1"/>
    <xf numFmtId="2" fontId="29" fillId="0" borderId="17" xfId="0" applyNumberFormat="1" applyFont="1" applyFill="1" applyBorder="1" applyAlignment="1" applyProtection="1"/>
    <xf numFmtId="0" fontId="29" fillId="0" borderId="18" xfId="0" applyFont="1" applyFill="1" applyBorder="1" applyAlignment="1" applyProtection="1">
      <alignment horizontal="right"/>
    </xf>
    <xf numFmtId="0" fontId="31" fillId="0" borderId="0" xfId="0" applyFont="1" applyFill="1" applyAlignment="1" applyProtection="1">
      <alignment horizontal="right"/>
    </xf>
    <xf numFmtId="2" fontId="31" fillId="0" borderId="0" xfId="0" applyNumberFormat="1" applyFont="1" applyFill="1" applyProtection="1"/>
    <xf numFmtId="188" fontId="29" fillId="0" borderId="5" xfId="0" applyNumberFormat="1" applyFont="1" applyFill="1" applyBorder="1" applyAlignment="1" applyProtection="1">
      <alignment horizontal="center"/>
    </xf>
    <xf numFmtId="0" fontId="31" fillId="5" borderId="0" xfId="0" applyFont="1" applyFill="1" applyAlignment="1" applyProtection="1">
      <alignment horizontal="center"/>
    </xf>
    <xf numFmtId="0" fontId="41" fillId="0" borderId="5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4" fontId="41" fillId="0" borderId="5" xfId="0" applyNumberFormat="1" applyFont="1" applyBorder="1" applyAlignment="1">
      <alignment horizontal="center" vertical="center"/>
    </xf>
    <xf numFmtId="2" fontId="43" fillId="0" borderId="5" xfId="0" applyNumberFormat="1" applyFont="1" applyBorder="1" applyAlignment="1">
      <alignment horizontal="center" vertical="center"/>
    </xf>
    <xf numFmtId="2" fontId="41" fillId="0" borderId="5" xfId="0" applyNumberFormat="1" applyFont="1" applyBorder="1" applyAlignment="1">
      <alignment horizontal="center" vertical="center"/>
    </xf>
    <xf numFmtId="192" fontId="31" fillId="0" borderId="0" xfId="0" applyNumberFormat="1" applyFont="1" applyFill="1" applyProtection="1"/>
    <xf numFmtId="0" fontId="31" fillId="5" borderId="0" xfId="0" applyFont="1" applyFill="1" applyProtection="1"/>
    <xf numFmtId="192" fontId="31" fillId="5" borderId="0" xfId="0" applyNumberFormat="1" applyFont="1" applyFill="1" applyProtection="1"/>
    <xf numFmtId="187" fontId="1" fillId="5" borderId="0" xfId="2" applyFont="1" applyFill="1" applyProtection="1"/>
    <xf numFmtId="0" fontId="44" fillId="0" borderId="5" xfId="0" applyFont="1" applyBorder="1" applyAlignment="1">
      <alignment horizontal="center" vertical="center"/>
    </xf>
    <xf numFmtId="0" fontId="44" fillId="0" borderId="5" xfId="0" applyFont="1" applyBorder="1"/>
    <xf numFmtId="4" fontId="44" fillId="0" borderId="5" xfId="0" applyNumberFormat="1" applyFont="1" applyBorder="1"/>
    <xf numFmtId="2" fontId="45" fillId="0" borderId="5" xfId="0" applyNumberFormat="1" applyFont="1" applyBorder="1" applyAlignment="1">
      <alignment horizontal="right" indent="1"/>
    </xf>
    <xf numFmtId="2" fontId="44" fillId="0" borderId="5" xfId="0" applyNumberFormat="1" applyFont="1" applyBorder="1" applyAlignment="1">
      <alignment horizontal="right" indent="1"/>
    </xf>
    <xf numFmtId="2" fontId="31" fillId="5" borderId="0" xfId="0" applyNumberFormat="1" applyFont="1" applyFill="1" applyProtection="1"/>
    <xf numFmtId="187" fontId="31" fillId="0" borderId="0" xfId="0" applyNumberFormat="1" applyFont="1" applyFill="1" applyProtection="1"/>
    <xf numFmtId="4" fontId="46" fillId="0" borderId="5" xfId="0" applyNumberFormat="1" applyFont="1" applyBorder="1"/>
    <xf numFmtId="2" fontId="47" fillId="0" borderId="5" xfId="0" applyNumberFormat="1" applyFont="1" applyBorder="1" applyAlignment="1">
      <alignment horizontal="right" indent="1"/>
    </xf>
    <xf numFmtId="0" fontId="44" fillId="0" borderId="0" xfId="0" applyFont="1" applyAlignment="1">
      <alignment horizontal="center" vertical="center"/>
    </xf>
    <xf numFmtId="0" fontId="44" fillId="0" borderId="0" xfId="0" applyFont="1"/>
    <xf numFmtId="4" fontId="44" fillId="0" borderId="0" xfId="0" applyNumberFormat="1" applyFont="1"/>
    <xf numFmtId="2" fontId="45" fillId="0" borderId="0" xfId="0" applyNumberFormat="1" applyFont="1"/>
    <xf numFmtId="2" fontId="44" fillId="0" borderId="0" xfId="0" applyNumberFormat="1" applyFont="1"/>
    <xf numFmtId="0" fontId="41" fillId="0" borderId="5" xfId="0" applyFont="1" applyBorder="1" applyAlignment="1">
      <alignment horizontal="center"/>
    </xf>
    <xf numFmtId="4" fontId="41" fillId="0" borderId="5" xfId="0" applyNumberFormat="1" applyFont="1" applyBorder="1" applyAlignment="1">
      <alignment horizontal="center"/>
    </xf>
    <xf numFmtId="2" fontId="43" fillId="0" borderId="5" xfId="0" applyNumberFormat="1" applyFont="1" applyBorder="1" applyAlignment="1">
      <alignment horizontal="center"/>
    </xf>
    <xf numFmtId="2" fontId="41" fillId="0" borderId="5" xfId="0" applyNumberFormat="1" applyFont="1" applyBorder="1" applyAlignment="1">
      <alignment horizontal="center"/>
    </xf>
    <xf numFmtId="0" fontId="44" fillId="0" borderId="4" xfId="0" applyFont="1" applyBorder="1" applyAlignment="1">
      <alignment horizontal="center" vertical="center"/>
    </xf>
    <xf numFmtId="0" fontId="44" fillId="0" borderId="4" xfId="0" applyFont="1" applyBorder="1"/>
    <xf numFmtId="4" fontId="44" fillId="0" borderId="4" xfId="0" applyNumberFormat="1" applyFont="1" applyBorder="1"/>
    <xf numFmtId="2" fontId="45" fillId="0" borderId="4" xfId="0" applyNumberFormat="1" applyFont="1" applyBorder="1"/>
    <xf numFmtId="2" fontId="44" fillId="0" borderId="4" xfId="0" applyNumberFormat="1" applyFont="1" applyBorder="1"/>
    <xf numFmtId="2" fontId="45" fillId="0" borderId="5" xfId="0" applyNumberFormat="1" applyFont="1" applyBorder="1"/>
    <xf numFmtId="2" fontId="44" fillId="0" borderId="5" xfId="0" applyNumberFormat="1" applyFont="1" applyBorder="1"/>
    <xf numFmtId="0" fontId="32" fillId="6" borderId="1" xfId="0" applyFont="1" applyFill="1" applyBorder="1" applyAlignment="1" applyProtection="1">
      <alignment horizontal="center"/>
    </xf>
    <xf numFmtId="0" fontId="33" fillId="6" borderId="1" xfId="0" applyFont="1" applyFill="1" applyBorder="1" applyAlignment="1" applyProtection="1">
      <alignment horizontal="center" wrapText="1"/>
    </xf>
    <xf numFmtId="0" fontId="32" fillId="6" borderId="4" xfId="0" applyFont="1" applyFill="1" applyBorder="1" applyAlignment="1" applyProtection="1">
      <alignment horizontal="center" vertical="top"/>
    </xf>
    <xf numFmtId="1" fontId="32" fillId="6" borderId="5" xfId="0" applyNumberFormat="1" applyFont="1" applyFill="1" applyBorder="1" applyAlignment="1" applyProtection="1">
      <alignment horizontal="center" vertical="top"/>
    </xf>
    <xf numFmtId="0" fontId="33" fillId="6" borderId="4" xfId="0" applyFont="1" applyFill="1" applyBorder="1" applyAlignment="1" applyProtection="1">
      <alignment horizontal="center" vertical="top" wrapText="1"/>
    </xf>
    <xf numFmtId="0" fontId="31" fillId="0" borderId="0" xfId="0" applyFont="1" applyFill="1" applyAlignment="1" applyProtection="1">
      <alignment horizontal="center" vertical="top"/>
    </xf>
    <xf numFmtId="0" fontId="34" fillId="0" borderId="0" xfId="0" applyFont="1"/>
    <xf numFmtId="0" fontId="34" fillId="0" borderId="19" xfId="0" applyFont="1" applyBorder="1"/>
    <xf numFmtId="0" fontId="34" fillId="0" borderId="20" xfId="0" applyFont="1" applyBorder="1"/>
    <xf numFmtId="0" fontId="32" fillId="0" borderId="11" xfId="0" applyFont="1" applyBorder="1" applyAlignment="1"/>
    <xf numFmtId="0" fontId="32" fillId="0" borderId="11" xfId="0" applyFont="1" applyBorder="1" applyAlignment="1">
      <alignment horizontal="right"/>
    </xf>
    <xf numFmtId="0" fontId="32" fillId="0" borderId="5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/>
    </xf>
    <xf numFmtId="0" fontId="34" fillId="0" borderId="20" xfId="0" applyFont="1" applyBorder="1" applyAlignment="1">
      <alignment horizontal="center"/>
    </xf>
    <xf numFmtId="2" fontId="34" fillId="0" borderId="19" xfId="0" applyNumberFormat="1" applyFont="1" applyBorder="1" applyAlignment="1">
      <alignment horizontal="center"/>
    </xf>
    <xf numFmtId="188" fontId="34" fillId="0" borderId="19" xfId="0" applyNumberFormat="1" applyFont="1" applyBorder="1" applyAlignment="1">
      <alignment horizontal="center"/>
    </xf>
    <xf numFmtId="0" fontId="31" fillId="0" borderId="0" xfId="5" applyFont="1" applyFill="1" applyProtection="1"/>
    <xf numFmtId="0" fontId="32" fillId="0" borderId="11" xfId="5" applyFont="1" applyFill="1" applyBorder="1" applyAlignment="1" applyProtection="1">
      <alignment horizontal="left" vertical="center"/>
    </xf>
    <xf numFmtId="0" fontId="32" fillId="0" borderId="11" xfId="5" applyFont="1" applyFill="1" applyBorder="1" applyAlignment="1" applyProtection="1"/>
    <xf numFmtId="0" fontId="35" fillId="0" borderId="11" xfId="5" applyFont="1" applyFill="1" applyBorder="1" applyAlignment="1" applyProtection="1"/>
    <xf numFmtId="0" fontId="32" fillId="0" borderId="11" xfId="5" applyFont="1" applyFill="1" applyBorder="1" applyAlignment="1" applyProtection="1">
      <alignment horizontal="right" vertical="center"/>
    </xf>
    <xf numFmtId="0" fontId="32" fillId="0" borderId="1" xfId="5" applyFont="1" applyFill="1" applyBorder="1" applyAlignment="1" applyProtection="1">
      <alignment horizontal="center"/>
    </xf>
    <xf numFmtId="0" fontId="33" fillId="0" borderId="1" xfId="5" applyFont="1" applyFill="1" applyBorder="1" applyAlignment="1" applyProtection="1">
      <alignment horizontal="center" wrapText="1"/>
    </xf>
    <xf numFmtId="0" fontId="31" fillId="0" borderId="0" xfId="5" applyFont="1" applyFill="1" applyAlignment="1" applyProtection="1">
      <alignment horizontal="center"/>
    </xf>
    <xf numFmtId="0" fontId="32" fillId="0" borderId="4" xfId="5" applyFont="1" applyFill="1" applyBorder="1" applyAlignment="1" applyProtection="1">
      <alignment horizontal="center"/>
    </xf>
    <xf numFmtId="1" fontId="32" fillId="0" borderId="5" xfId="5" applyNumberFormat="1" applyFont="1" applyFill="1" applyBorder="1" applyAlignment="1" applyProtection="1">
      <alignment horizontal="center"/>
    </xf>
    <xf numFmtId="0" fontId="33" fillId="0" borderId="4" xfId="5" applyFont="1" applyFill="1" applyBorder="1" applyAlignment="1" applyProtection="1">
      <alignment horizontal="center" wrapText="1"/>
    </xf>
    <xf numFmtId="0" fontId="32" fillId="0" borderId="1" xfId="5" applyFont="1" applyFill="1" applyBorder="1" applyAlignment="1" applyProtection="1"/>
    <xf numFmtId="188" fontId="32" fillId="0" borderId="1" xfId="5" applyNumberFormat="1" applyFont="1" applyFill="1" applyBorder="1" applyAlignment="1" applyProtection="1">
      <alignment horizontal="center"/>
    </xf>
    <xf numFmtId="0" fontId="32" fillId="0" borderId="3" xfId="5" applyFont="1" applyFill="1" applyBorder="1" applyAlignment="1" applyProtection="1"/>
    <xf numFmtId="0" fontId="33" fillId="0" borderId="3" xfId="5" applyFont="1" applyFill="1" applyBorder="1" applyAlignment="1" applyProtection="1">
      <alignment horizontal="center"/>
    </xf>
    <xf numFmtId="0" fontId="31" fillId="0" borderId="3" xfId="5" applyFont="1" applyFill="1" applyBorder="1" applyAlignment="1" applyProtection="1">
      <alignment horizontal="center"/>
    </xf>
    <xf numFmtId="190" fontId="35" fillId="0" borderId="3" xfId="5" applyNumberFormat="1" applyFont="1" applyFill="1" applyBorder="1" applyAlignment="1" applyProtection="1">
      <alignment horizontal="center"/>
    </xf>
    <xf numFmtId="0" fontId="32" fillId="0" borderId="3" xfId="5" applyFont="1" applyFill="1" applyBorder="1" applyAlignment="1" applyProtection="1">
      <alignment horizontal="center"/>
    </xf>
    <xf numFmtId="0" fontId="31" fillId="5" borderId="0" xfId="5" applyFont="1" applyFill="1" applyAlignment="1" applyProtection="1">
      <alignment horizontal="center"/>
    </xf>
    <xf numFmtId="0" fontId="41" fillId="0" borderId="5" xfId="5" applyFont="1" applyBorder="1" applyAlignment="1">
      <alignment horizontal="center" vertical="center"/>
    </xf>
    <xf numFmtId="0" fontId="42" fillId="0" borderId="5" xfId="5" applyFont="1" applyBorder="1" applyAlignment="1">
      <alignment horizontal="center" vertical="center"/>
    </xf>
    <xf numFmtId="4" fontId="41" fillId="0" borderId="5" xfId="5" applyNumberFormat="1" applyFont="1" applyBorder="1" applyAlignment="1">
      <alignment horizontal="center" vertical="center"/>
    </xf>
    <xf numFmtId="2" fontId="43" fillId="0" borderId="5" xfId="5" applyNumberFormat="1" applyFont="1" applyBorder="1" applyAlignment="1">
      <alignment horizontal="center" vertical="center"/>
    </xf>
    <xf numFmtId="2" fontId="41" fillId="0" borderId="5" xfId="5" applyNumberFormat="1" applyFont="1" applyBorder="1" applyAlignment="1">
      <alignment horizontal="center" vertical="center"/>
    </xf>
    <xf numFmtId="192" fontId="31" fillId="0" borderId="0" xfId="5" applyNumberFormat="1" applyFont="1" applyFill="1" applyProtection="1"/>
    <xf numFmtId="0" fontId="31" fillId="5" borderId="0" xfId="5" applyFont="1" applyFill="1" applyProtection="1"/>
    <xf numFmtId="192" fontId="31" fillId="5" borderId="0" xfId="5" applyNumberFormat="1" applyFont="1" applyFill="1" applyProtection="1"/>
    <xf numFmtId="0" fontId="44" fillId="0" borderId="5" xfId="5" applyFont="1" applyBorder="1" applyAlignment="1">
      <alignment horizontal="center" vertical="center"/>
    </xf>
    <xf numFmtId="0" fontId="44" fillId="0" borderId="5" xfId="5" applyFont="1" applyBorder="1"/>
    <xf numFmtId="4" fontId="44" fillId="0" borderId="5" xfId="5" applyNumberFormat="1" applyFont="1" applyBorder="1"/>
    <xf numFmtId="2" fontId="45" fillId="0" borderId="5" xfId="5" applyNumberFormat="1" applyFont="1" applyBorder="1" applyAlignment="1">
      <alignment horizontal="right" indent="1"/>
    </xf>
    <xf numFmtId="2" fontId="44" fillId="0" borderId="5" xfId="5" applyNumberFormat="1" applyFont="1" applyBorder="1" applyAlignment="1">
      <alignment horizontal="right" indent="1"/>
    </xf>
    <xf numFmtId="0" fontId="33" fillId="0" borderId="0" xfId="5" applyFont="1" applyFill="1" applyBorder="1" applyAlignment="1" applyProtection="1">
      <alignment horizontal="right"/>
    </xf>
    <xf numFmtId="2" fontId="31" fillId="5" borderId="0" xfId="5" applyNumberFormat="1" applyFont="1" applyFill="1" applyProtection="1"/>
    <xf numFmtId="187" fontId="31" fillId="0" borderId="0" xfId="5" applyNumberFormat="1" applyFont="1" applyFill="1" applyProtection="1"/>
    <xf numFmtId="1" fontId="31" fillId="0" borderId="0" xfId="5" applyNumberFormat="1" applyFont="1" applyFill="1" applyProtection="1"/>
    <xf numFmtId="2" fontId="31" fillId="0" borderId="0" xfId="5" applyNumberFormat="1" applyFont="1" applyFill="1" applyProtection="1"/>
    <xf numFmtId="9" fontId="34" fillId="0" borderId="1" xfId="5" applyNumberFormat="1" applyFont="1" applyFill="1" applyBorder="1" applyAlignment="1" applyProtection="1">
      <alignment horizontal="center" vertical="top" wrapText="1"/>
    </xf>
    <xf numFmtId="0" fontId="31" fillId="0" borderId="2" xfId="5" applyFont="1" applyFill="1" applyBorder="1" applyAlignment="1" applyProtection="1">
      <alignment horizontal="center"/>
    </xf>
    <xf numFmtId="0" fontId="41" fillId="0" borderId="5" xfId="5" applyFont="1" applyBorder="1" applyAlignment="1">
      <alignment horizontal="center" vertical="center"/>
    </xf>
    <xf numFmtId="4" fontId="46" fillId="0" borderId="5" xfId="5" applyNumberFormat="1" applyFont="1" applyBorder="1"/>
    <xf numFmtId="2" fontId="47" fillId="0" borderId="5" xfId="5" applyNumberFormat="1" applyFont="1" applyBorder="1" applyAlignment="1">
      <alignment horizontal="right" indent="1"/>
    </xf>
    <xf numFmtId="2" fontId="45" fillId="0" borderId="5" xfId="5" applyNumberFormat="1" applyFont="1" applyBorder="1"/>
    <xf numFmtId="2" fontId="44" fillId="0" borderId="5" xfId="5" applyNumberFormat="1" applyFont="1" applyBorder="1"/>
    <xf numFmtId="187" fontId="33" fillId="0" borderId="15" xfId="2" applyFont="1" applyFill="1" applyBorder="1" applyAlignment="1" applyProtection="1">
      <alignment horizontal="center"/>
      <protection locked="0"/>
    </xf>
    <xf numFmtId="2" fontId="38" fillId="0" borderId="0" xfId="5" applyNumberFormat="1" applyFont="1" applyFill="1" applyProtection="1"/>
    <xf numFmtId="0" fontId="33" fillId="0" borderId="0" xfId="5" applyFont="1" applyFill="1" applyAlignment="1" applyProtection="1">
      <alignment horizontal="center"/>
    </xf>
    <xf numFmtId="0" fontId="29" fillId="0" borderId="16" xfId="5" applyFont="1" applyFill="1" applyBorder="1" applyAlignment="1" applyProtection="1"/>
    <xf numFmtId="2" fontId="32" fillId="0" borderId="5" xfId="5" applyNumberFormat="1" applyFont="1" applyFill="1" applyBorder="1" applyProtection="1"/>
    <xf numFmtId="0" fontId="29" fillId="0" borderId="17" xfId="5" applyFont="1" applyFill="1" applyBorder="1" applyAlignment="1" applyProtection="1"/>
    <xf numFmtId="2" fontId="29" fillId="0" borderId="17" xfId="5" applyNumberFormat="1" applyFont="1" applyFill="1" applyBorder="1" applyAlignment="1" applyProtection="1"/>
    <xf numFmtId="0" fontId="50" fillId="0" borderId="18" xfId="5" applyFont="1" applyFill="1" applyBorder="1" applyAlignment="1" applyProtection="1">
      <alignment horizontal="right"/>
    </xf>
    <xf numFmtId="188" fontId="29" fillId="0" borderId="5" xfId="5" applyNumberFormat="1" applyFont="1" applyFill="1" applyBorder="1" applyAlignment="1" applyProtection="1">
      <alignment horizontal="center"/>
    </xf>
    <xf numFmtId="0" fontId="51" fillId="0" borderId="0" xfId="5" applyFont="1" applyFill="1" applyProtection="1"/>
    <xf numFmtId="2" fontId="33" fillId="0" borderId="0" xfId="5" applyNumberFormat="1" applyFont="1" applyFill="1" applyAlignment="1" applyProtection="1">
      <alignment horizontal="center"/>
    </xf>
    <xf numFmtId="0" fontId="31" fillId="0" borderId="0" xfId="5" applyFont="1" applyFill="1" applyAlignment="1" applyProtection="1">
      <alignment horizontal="right"/>
    </xf>
    <xf numFmtId="0" fontId="31" fillId="0" borderId="2" xfId="5" applyFont="1" applyFill="1" applyBorder="1" applyAlignment="1" applyProtection="1">
      <alignment horizontal="left"/>
    </xf>
    <xf numFmtId="0" fontId="31" fillId="0" borderId="0" xfId="5" applyFont="1" applyFill="1" applyBorder="1" applyAlignment="1" applyProtection="1">
      <alignment horizontal="center"/>
    </xf>
    <xf numFmtId="0" fontId="31" fillId="0" borderId="10" xfId="5" applyFont="1" applyFill="1" applyBorder="1" applyAlignment="1" applyProtection="1">
      <alignment horizontal="center"/>
    </xf>
    <xf numFmtId="0" fontId="35" fillId="0" borderId="11" xfId="0" applyFont="1" applyFill="1" applyBorder="1" applyAlignment="1" applyProtection="1"/>
    <xf numFmtId="0" fontId="50" fillId="0" borderId="18" xfId="0" applyFont="1" applyFill="1" applyBorder="1" applyAlignment="1" applyProtection="1">
      <alignment horizontal="right"/>
    </xf>
    <xf numFmtId="0" fontId="51" fillId="0" borderId="0" xfId="0" applyFont="1" applyFill="1" applyProtection="1"/>
    <xf numFmtId="0" fontId="44" fillId="0" borderId="0" xfId="5" applyFont="1" applyAlignment="1">
      <alignment horizontal="center" vertical="center"/>
    </xf>
    <xf numFmtId="0" fontId="44" fillId="0" borderId="0" xfId="5" applyFont="1"/>
    <xf numFmtId="4" fontId="44" fillId="0" borderId="0" xfId="5" applyNumberFormat="1" applyFont="1"/>
    <xf numFmtId="2" fontId="45" fillId="0" borderId="0" xfId="5" applyNumberFormat="1" applyFont="1"/>
    <xf numFmtId="2" fontId="44" fillId="0" borderId="0" xfId="5" applyNumberFormat="1" applyFont="1"/>
    <xf numFmtId="0" fontId="41" fillId="0" borderId="5" xfId="5" applyFont="1" applyBorder="1" applyAlignment="1">
      <alignment horizontal="center"/>
    </xf>
    <xf numFmtId="4" fontId="41" fillId="0" borderId="5" xfId="5" applyNumberFormat="1" applyFont="1" applyBorder="1" applyAlignment="1">
      <alignment horizontal="center"/>
    </xf>
    <xf numFmtId="2" fontId="43" fillId="0" borderId="5" xfId="5" applyNumberFormat="1" applyFont="1" applyBorder="1" applyAlignment="1">
      <alignment horizontal="center"/>
    </xf>
    <xf numFmtId="2" fontId="41" fillId="0" borderId="5" xfId="5" applyNumberFormat="1" applyFont="1" applyBorder="1" applyAlignment="1">
      <alignment horizontal="center"/>
    </xf>
    <xf numFmtId="0" fontId="44" fillId="0" borderId="4" xfId="5" applyFont="1" applyBorder="1" applyAlignment="1">
      <alignment horizontal="center" vertical="center"/>
    </xf>
    <xf numFmtId="0" fontId="44" fillId="0" borderId="4" xfId="5" applyFont="1" applyBorder="1"/>
    <xf numFmtId="4" fontId="44" fillId="0" borderId="4" xfId="5" applyNumberFormat="1" applyFont="1" applyBorder="1"/>
    <xf numFmtId="2" fontId="45" fillId="0" borderId="4" xfId="5" applyNumberFormat="1" applyFont="1" applyBorder="1"/>
    <xf numFmtId="2" fontId="44" fillId="0" borderId="4" xfId="5" applyNumberFormat="1" applyFont="1" applyBorder="1"/>
    <xf numFmtId="0" fontId="41" fillId="0" borderId="5" xfId="5" applyFont="1" applyBorder="1" applyAlignment="1">
      <alignment horizontal="center" vertical="center"/>
    </xf>
    <xf numFmtId="3" fontId="31" fillId="0" borderId="0" xfId="5" applyNumberFormat="1" applyFont="1" applyFill="1" applyProtection="1"/>
    <xf numFmtId="0" fontId="41" fillId="0" borderId="5" xfId="5" applyFont="1" applyBorder="1" applyAlignment="1">
      <alignment horizontal="center" vertical="center"/>
    </xf>
    <xf numFmtId="0" fontId="41" fillId="0" borderId="5" xfId="5" applyFont="1" applyBorder="1" applyAlignment="1">
      <alignment horizontal="center" vertical="center"/>
    </xf>
    <xf numFmtId="0" fontId="32" fillId="0" borderId="1" xfId="0" applyFont="1" applyFill="1" applyBorder="1" applyAlignment="1" applyProtection="1"/>
    <xf numFmtId="3" fontId="34" fillId="0" borderId="3" xfId="0" applyNumberFormat="1" applyFont="1" applyFill="1" applyBorder="1" applyAlignment="1" applyProtection="1">
      <alignment wrapText="1"/>
    </xf>
    <xf numFmtId="3" fontId="31" fillId="0" borderId="3" xfId="0" applyNumberFormat="1" applyFont="1" applyFill="1" applyBorder="1" applyAlignment="1" applyProtection="1">
      <alignment horizontal="center" wrapText="1"/>
    </xf>
    <xf numFmtId="188" fontId="32" fillId="0" borderId="1" xfId="0" applyNumberFormat="1" applyFont="1" applyFill="1" applyBorder="1" applyAlignment="1" applyProtection="1">
      <alignment horizontal="center"/>
    </xf>
    <xf numFmtId="0" fontId="32" fillId="0" borderId="3" xfId="0" applyFont="1" applyFill="1" applyBorder="1" applyAlignment="1" applyProtection="1"/>
    <xf numFmtId="0" fontId="33" fillId="0" borderId="2" xfId="0" applyFont="1" applyFill="1" applyBorder="1" applyAlignment="1" applyProtection="1">
      <alignment horizontal="center"/>
    </xf>
    <xf numFmtId="0" fontId="34" fillId="0" borderId="3" xfId="0" applyFont="1" applyFill="1" applyBorder="1" applyAlignment="1" applyProtection="1">
      <alignment horizontal="center" wrapText="1"/>
    </xf>
    <xf numFmtId="0" fontId="33" fillId="0" borderId="1" xfId="0" applyFont="1" applyFill="1" applyBorder="1" applyAlignment="1" applyProtection="1">
      <alignment horizontal="center"/>
    </xf>
    <xf numFmtId="190" fontId="35" fillId="0" borderId="3" xfId="0" applyNumberFormat="1" applyFont="1" applyFill="1" applyBorder="1" applyAlignment="1" applyProtection="1">
      <alignment horizontal="center"/>
    </xf>
    <xf numFmtId="0" fontId="32" fillId="0" borderId="3" xfId="0" applyFont="1" applyFill="1" applyBorder="1" applyAlignment="1" applyProtection="1">
      <alignment horizontal="center"/>
    </xf>
    <xf numFmtId="190" fontId="35" fillId="0" borderId="10" xfId="0" applyNumberFormat="1" applyFont="1" applyFill="1" applyBorder="1" applyAlignment="1" applyProtection="1">
      <alignment horizontal="center"/>
    </xf>
    <xf numFmtId="0" fontId="33" fillId="0" borderId="3" xfId="0" applyFont="1" applyFill="1" applyBorder="1" applyAlignment="1" applyProtection="1">
      <alignment horizontal="center"/>
    </xf>
    <xf numFmtId="0" fontId="31" fillId="0" borderId="3" xfId="0" applyFont="1" applyFill="1" applyBorder="1" applyAlignment="1" applyProtection="1">
      <alignment horizontal="center"/>
    </xf>
    <xf numFmtId="189" fontId="33" fillId="0" borderId="3" xfId="2" applyNumberFormat="1" applyFont="1" applyFill="1" applyBorder="1" applyAlignment="1" applyProtection="1">
      <alignment horizontal="center"/>
    </xf>
    <xf numFmtId="3" fontId="33" fillId="0" borderId="3" xfId="2" applyNumberFormat="1" applyFont="1" applyFill="1" applyBorder="1" applyAlignment="1" applyProtection="1">
      <alignment horizontal="center"/>
    </xf>
    <xf numFmtId="189" fontId="33" fillId="0" borderId="4" xfId="2" applyNumberFormat="1" applyFont="1" applyFill="1" applyBorder="1" applyAlignment="1" applyProtection="1">
      <alignment horizontal="center"/>
    </xf>
    <xf numFmtId="3" fontId="33" fillId="0" borderId="4" xfId="2" applyNumberFormat="1" applyFont="1" applyFill="1" applyBorder="1" applyAlignment="1" applyProtection="1">
      <alignment horizontal="center"/>
    </xf>
    <xf numFmtId="189" fontId="33" fillId="0" borderId="13" xfId="2" applyNumberFormat="1" applyFont="1" applyFill="1" applyBorder="1" applyAlignment="1" applyProtection="1">
      <alignment horizontal="center"/>
    </xf>
    <xf numFmtId="3" fontId="33" fillId="0" borderId="13" xfId="2" applyNumberFormat="1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horizontal="center"/>
    </xf>
    <xf numFmtId="189" fontId="33" fillId="0" borderId="0" xfId="2" applyNumberFormat="1" applyFont="1" applyFill="1" applyBorder="1" applyAlignment="1" applyProtection="1">
      <alignment horizontal="center"/>
    </xf>
    <xf numFmtId="189" fontId="33" fillId="0" borderId="10" xfId="2" applyNumberFormat="1" applyFont="1" applyFill="1" applyBorder="1" applyAlignment="1" applyProtection="1">
      <alignment horizontal="center"/>
    </xf>
    <xf numFmtId="9" fontId="34" fillId="0" borderId="1" xfId="0" applyNumberFormat="1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right"/>
    </xf>
    <xf numFmtId="187" fontId="36" fillId="0" borderId="15" xfId="2" applyFont="1" applyFill="1" applyBorder="1" applyAlignment="1" applyProtection="1">
      <alignment horizontal="center"/>
      <protection locked="0"/>
    </xf>
    <xf numFmtId="0" fontId="32" fillId="0" borderId="4" xfId="0" applyFont="1" applyFill="1" applyBorder="1" applyAlignment="1" applyProtection="1"/>
    <xf numFmtId="0" fontId="33" fillId="0" borderId="4" xfId="0" applyFont="1" applyFill="1" applyBorder="1" applyAlignment="1" applyProtection="1">
      <alignment horizontal="center"/>
    </xf>
    <xf numFmtId="0" fontId="31" fillId="0" borderId="4" xfId="0" applyFont="1" applyFill="1" applyBorder="1" applyAlignment="1" applyProtection="1">
      <alignment horizontal="center"/>
    </xf>
    <xf numFmtId="190" fontId="35" fillId="0" borderId="4" xfId="0" applyNumberFormat="1" applyFont="1" applyFill="1" applyBorder="1" applyAlignment="1" applyProtection="1">
      <alignment horizontal="center"/>
    </xf>
    <xf numFmtId="0" fontId="31" fillId="0" borderId="7" xfId="0" applyFont="1" applyFill="1" applyBorder="1" applyAlignment="1" applyProtection="1">
      <alignment horizontal="left"/>
    </xf>
    <xf numFmtId="0" fontId="31" fillId="0" borderId="11" xfId="0" applyFont="1" applyFill="1" applyBorder="1" applyAlignment="1" applyProtection="1">
      <alignment horizontal="left"/>
    </xf>
    <xf numFmtId="0" fontId="36" fillId="0" borderId="11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left"/>
    </xf>
    <xf numFmtId="9" fontId="34" fillId="0" borderId="1" xfId="0" applyNumberFormat="1" applyFont="1" applyFill="1" applyBorder="1" applyAlignment="1" applyProtection="1">
      <alignment horizontal="center" vertical="top" wrapText="1"/>
    </xf>
    <xf numFmtId="0" fontId="31" fillId="0" borderId="2" xfId="0" applyFont="1" applyFill="1" applyBorder="1" applyAlignment="1" applyProtection="1">
      <alignment horizontal="center"/>
    </xf>
    <xf numFmtId="0" fontId="31" fillId="0" borderId="2" xfId="0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center"/>
    </xf>
    <xf numFmtId="0" fontId="31" fillId="0" borderId="10" xfId="0" applyFont="1" applyFill="1" applyBorder="1" applyAlignment="1" applyProtection="1">
      <alignment horizontal="center"/>
    </xf>
    <xf numFmtId="191" fontId="36" fillId="0" borderId="15" xfId="2" applyNumberFormat="1" applyFont="1" applyFill="1" applyBorder="1" applyAlignment="1" applyProtection="1">
      <alignment horizontal="center"/>
      <protection locked="0"/>
    </xf>
    <xf numFmtId="0" fontId="34" fillId="0" borderId="3" xfId="0" applyFont="1" applyFill="1" applyBorder="1" applyAlignment="1" applyProtection="1">
      <alignment horizontal="center" vertical="top" wrapText="1"/>
    </xf>
    <xf numFmtId="49" fontId="33" fillId="0" borderId="11" xfId="0" applyNumberFormat="1" applyFont="1" applyFill="1" applyBorder="1" applyAlignment="1" applyProtection="1">
      <alignment horizontal="center"/>
    </xf>
    <xf numFmtId="0" fontId="32" fillId="0" borderId="1" xfId="0" applyFont="1" applyFill="1" applyBorder="1" applyAlignment="1" applyProtection="1">
      <alignment horizontal="left"/>
    </xf>
    <xf numFmtId="187" fontId="32" fillId="0" borderId="1" xfId="2" applyFont="1" applyFill="1" applyBorder="1" applyAlignment="1" applyProtection="1">
      <alignment horizontal="center"/>
    </xf>
    <xf numFmtId="9" fontId="34" fillId="0" borderId="1" xfId="0" applyNumberFormat="1" applyFont="1" applyFill="1" applyBorder="1" applyAlignment="1" applyProtection="1">
      <alignment horizontal="center"/>
    </xf>
    <xf numFmtId="0" fontId="40" fillId="0" borderId="3" xfId="0" applyFont="1" applyFill="1" applyBorder="1" applyAlignment="1" applyProtection="1"/>
    <xf numFmtId="49" fontId="33" fillId="0" borderId="0" xfId="0" applyNumberFormat="1" applyFont="1" applyFill="1" applyBorder="1" applyAlignment="1" applyProtection="1">
      <alignment horizontal="right"/>
    </xf>
    <xf numFmtId="0" fontId="31" fillId="0" borderId="3" xfId="0" applyFont="1" applyFill="1" applyBorder="1" applyAlignment="1" applyProtection="1">
      <alignment horizontal="left"/>
    </xf>
    <xf numFmtId="49" fontId="33" fillId="0" borderId="0" xfId="0" applyNumberFormat="1" applyFont="1" applyFill="1" applyBorder="1" applyAlignment="1" applyProtection="1">
      <alignment horizontal="center"/>
    </xf>
    <xf numFmtId="0" fontId="34" fillId="0" borderId="1" xfId="4" applyNumberFormat="1" applyFont="1" applyFill="1" applyBorder="1" applyAlignment="1" applyProtection="1">
      <alignment horizontal="center"/>
    </xf>
    <xf numFmtId="2" fontId="34" fillId="0" borderId="3" xfId="4" applyNumberFormat="1" applyFont="1" applyFill="1" applyBorder="1" applyAlignment="1" applyProtection="1">
      <alignment horizontal="center"/>
    </xf>
    <xf numFmtId="9" fontId="34" fillId="0" borderId="1" xfId="4" applyNumberFormat="1" applyFont="1" applyFill="1" applyBorder="1" applyAlignment="1" applyProtection="1">
      <alignment horizontal="center"/>
    </xf>
    <xf numFmtId="190" fontId="32" fillId="0" borderId="3" xfId="0" applyNumberFormat="1" applyFont="1" applyFill="1" applyBorder="1" applyAlignment="1" applyProtection="1">
      <alignment horizontal="center"/>
    </xf>
    <xf numFmtId="1" fontId="33" fillId="0" borderId="4" xfId="0" applyNumberFormat="1" applyFont="1" applyFill="1" applyBorder="1" applyAlignment="1" applyProtection="1">
      <alignment horizontal="center"/>
    </xf>
    <xf numFmtId="0" fontId="33" fillId="0" borderId="0" xfId="5" applyFont="1" applyFill="1" applyBorder="1" applyAlignment="1" applyProtection="1">
      <alignment horizontal="center"/>
    </xf>
    <xf numFmtId="0" fontId="33" fillId="0" borderId="6" xfId="0" applyFont="1" applyFill="1" applyBorder="1" applyAlignment="1" applyProtection="1">
      <alignment vertical="center"/>
    </xf>
    <xf numFmtId="0" fontId="33" fillId="0" borderId="9" xfId="0" applyFont="1" applyFill="1" applyBorder="1" applyAlignment="1" applyProtection="1">
      <alignment vertical="center"/>
    </xf>
    <xf numFmtId="0" fontId="33" fillId="0" borderId="7" xfId="0" applyFont="1" applyFill="1" applyBorder="1" applyAlignment="1" applyProtection="1">
      <alignment vertical="center"/>
    </xf>
    <xf numFmtId="0" fontId="33" fillId="0" borderId="14" xfId="0" applyFont="1" applyFill="1" applyBorder="1" applyAlignment="1" applyProtection="1">
      <alignment vertical="center"/>
    </xf>
    <xf numFmtId="9" fontId="34" fillId="0" borderId="1" xfId="5" applyNumberFormat="1" applyFont="1" applyFill="1" applyBorder="1" applyAlignment="1" applyProtection="1">
      <alignment horizontal="center" wrapText="1"/>
    </xf>
    <xf numFmtId="0" fontId="32" fillId="0" borderId="4" xfId="5" applyFont="1" applyFill="1" applyBorder="1" applyAlignment="1" applyProtection="1"/>
    <xf numFmtId="0" fontId="33" fillId="0" borderId="4" xfId="5" applyFont="1" applyFill="1" applyBorder="1" applyAlignment="1" applyProtection="1">
      <alignment horizontal="center"/>
    </xf>
    <xf numFmtId="0" fontId="31" fillId="0" borderId="4" xfId="5" applyFont="1" applyFill="1" applyBorder="1" applyAlignment="1" applyProtection="1">
      <alignment horizontal="center"/>
    </xf>
    <xf numFmtId="190" fontId="35" fillId="0" borderId="4" xfId="5" applyNumberFormat="1" applyFont="1" applyFill="1" applyBorder="1" applyAlignment="1" applyProtection="1">
      <alignment horizontal="center"/>
    </xf>
    <xf numFmtId="0" fontId="31" fillId="0" borderId="7" xfId="5" applyFont="1" applyFill="1" applyBorder="1" applyAlignment="1" applyProtection="1">
      <alignment horizontal="left"/>
    </xf>
    <xf numFmtId="0" fontId="31" fillId="0" borderId="11" xfId="5" applyFont="1" applyFill="1" applyBorder="1" applyAlignment="1" applyProtection="1">
      <alignment horizontal="left"/>
    </xf>
    <xf numFmtId="0" fontId="36" fillId="0" borderId="11" xfId="5" applyFont="1" applyFill="1" applyBorder="1" applyAlignment="1" applyProtection="1">
      <alignment horizontal="center"/>
    </xf>
    <xf numFmtId="0" fontId="31" fillId="0" borderId="14" xfId="5" applyFont="1" applyFill="1" applyBorder="1" applyAlignment="1" applyProtection="1">
      <alignment horizontal="left"/>
    </xf>
    <xf numFmtId="0" fontId="33" fillId="0" borderId="2" xfId="5" applyFont="1" applyFill="1" applyBorder="1" applyAlignment="1" applyProtection="1">
      <alignment horizontal="center"/>
    </xf>
    <xf numFmtId="0" fontId="34" fillId="0" borderId="3" xfId="5" applyFont="1" applyFill="1" applyBorder="1" applyAlignment="1" applyProtection="1">
      <alignment horizontal="center" vertical="top" wrapText="1"/>
    </xf>
    <xf numFmtId="0" fontId="31" fillId="0" borderId="3" xfId="5" applyFont="1" applyFill="1" applyBorder="1" applyAlignment="1" applyProtection="1">
      <alignment horizontal="left"/>
    </xf>
    <xf numFmtId="190" fontId="35" fillId="0" borderId="10" xfId="5" applyNumberFormat="1" applyFont="1" applyFill="1" applyBorder="1" applyAlignment="1" applyProtection="1">
      <alignment horizontal="center"/>
    </xf>
    <xf numFmtId="0" fontId="31" fillId="0" borderId="11" xfId="5" applyFont="1" applyFill="1" applyBorder="1" applyAlignment="1" applyProtection="1">
      <alignment horizontal="center"/>
    </xf>
    <xf numFmtId="0" fontId="31" fillId="0" borderId="14" xfId="5" applyFont="1" applyFill="1" applyBorder="1" applyAlignment="1" applyProtection="1">
      <alignment horizontal="center"/>
    </xf>
    <xf numFmtId="3" fontId="34" fillId="0" borderId="3" xfId="5" applyNumberFormat="1" applyFont="1" applyFill="1" applyBorder="1" applyAlignment="1" applyProtection="1">
      <alignment wrapText="1"/>
    </xf>
    <xf numFmtId="3" fontId="31" fillId="0" borderId="3" xfId="5" applyNumberFormat="1" applyFont="1" applyFill="1" applyBorder="1" applyAlignment="1" applyProtection="1">
      <alignment horizontal="center" wrapText="1"/>
    </xf>
    <xf numFmtId="0" fontId="34" fillId="0" borderId="3" xfId="5" applyFont="1" applyFill="1" applyBorder="1" applyAlignment="1" applyProtection="1">
      <alignment horizontal="center" wrapText="1"/>
    </xf>
    <xf numFmtId="0" fontId="33" fillId="0" borderId="5" xfId="5" applyFont="1" applyFill="1" applyBorder="1" applyAlignment="1" applyProtection="1">
      <alignment horizontal="center"/>
    </xf>
    <xf numFmtId="0" fontId="33" fillId="0" borderId="1" xfId="5" applyFont="1" applyFill="1" applyBorder="1" applyAlignment="1" applyProtection="1">
      <alignment horizontal="center"/>
    </xf>
    <xf numFmtId="0" fontId="31" fillId="0" borderId="3" xfId="5" applyFont="1" applyFill="1" applyBorder="1" applyAlignment="1" applyProtection="1">
      <alignment horizontal="center" wrapText="1"/>
    </xf>
    <xf numFmtId="189" fontId="33" fillId="0" borderId="6" xfId="2" applyNumberFormat="1" applyFont="1" applyFill="1" applyBorder="1" applyAlignment="1" applyProtection="1">
      <alignment horizontal="center"/>
    </xf>
    <xf numFmtId="3" fontId="33" fillId="0" borderId="1" xfId="2" applyNumberFormat="1" applyFont="1" applyFill="1" applyBorder="1" applyAlignment="1" applyProtection="1">
      <alignment horizontal="center"/>
      <protection locked="0"/>
    </xf>
    <xf numFmtId="0" fontId="31" fillId="0" borderId="3" xfId="5" applyFont="1" applyFill="1" applyBorder="1" applyAlignment="1" applyProtection="1">
      <alignment horizontal="center" vertical="center" wrapText="1"/>
    </xf>
    <xf numFmtId="3" fontId="52" fillId="0" borderId="3" xfId="2" applyNumberFormat="1" applyFont="1" applyFill="1" applyBorder="1" applyAlignment="1" applyProtection="1">
      <alignment horizontal="center"/>
      <protection locked="0"/>
    </xf>
    <xf numFmtId="3" fontId="52" fillId="0" borderId="3" xfId="2" applyNumberFormat="1" applyFont="1" applyFill="1" applyBorder="1" applyAlignment="1" applyProtection="1">
      <alignment horizontal="center"/>
    </xf>
    <xf numFmtId="189" fontId="36" fillId="0" borderId="15" xfId="2" applyNumberFormat="1" applyFont="1" applyFill="1" applyBorder="1" applyAlignment="1" applyProtection="1">
      <alignment horizontal="center"/>
      <protection locked="0"/>
    </xf>
    <xf numFmtId="0" fontId="33" fillId="0" borderId="2" xfId="0" applyFont="1" applyFill="1" applyBorder="1" applyAlignment="1" applyProtection="1">
      <alignment horizontal="right"/>
    </xf>
    <xf numFmtId="189" fontId="36" fillId="0" borderId="15" xfId="2" applyNumberFormat="1" applyFont="1" applyFill="1" applyBorder="1" applyAlignment="1" applyProtection="1">
      <alignment horizontal="left"/>
      <protection locked="0"/>
    </xf>
    <xf numFmtId="0" fontId="31" fillId="0" borderId="7" xfId="0" applyFont="1" applyFill="1" applyBorder="1" applyAlignment="1" applyProtection="1">
      <alignment horizontal="right"/>
    </xf>
    <xf numFmtId="0" fontId="31" fillId="0" borderId="11" xfId="0" applyFont="1" applyFill="1" applyBorder="1" applyAlignment="1" applyProtection="1">
      <alignment horizontal="center"/>
      <protection locked="0"/>
    </xf>
    <xf numFmtId="9" fontId="31" fillId="0" borderId="3" xfId="0" applyNumberFormat="1" applyFont="1" applyFill="1" applyBorder="1" applyAlignment="1" applyProtection="1">
      <alignment horizontal="center" vertical="top" wrapText="1"/>
    </xf>
    <xf numFmtId="0" fontId="33" fillId="0" borderId="7" xfId="0" applyFont="1" applyFill="1" applyBorder="1" applyAlignment="1" applyProtection="1">
      <alignment horizontal="right"/>
    </xf>
    <xf numFmtId="0" fontId="32" fillId="0" borderId="6" xfId="0" applyFont="1" applyFill="1" applyBorder="1" applyAlignment="1" applyProtection="1"/>
    <xf numFmtId="0" fontId="34" fillId="0" borderId="1" xfId="0" applyFont="1" applyFill="1" applyBorder="1" applyAlignment="1" applyProtection="1">
      <alignment horizontal="center"/>
    </xf>
    <xf numFmtId="0" fontId="32" fillId="0" borderId="2" xfId="0" applyFont="1" applyFill="1" applyBorder="1" applyAlignment="1" applyProtection="1"/>
    <xf numFmtId="2" fontId="33" fillId="0" borderId="3" xfId="0" applyNumberFormat="1" applyFont="1" applyFill="1" applyBorder="1" applyAlignment="1" applyProtection="1">
      <alignment horizontal="center"/>
    </xf>
    <xf numFmtId="2" fontId="33" fillId="0" borderId="0" xfId="0" applyNumberFormat="1" applyFont="1" applyFill="1" applyBorder="1" applyAlignment="1" applyProtection="1">
      <alignment horizontal="center"/>
    </xf>
    <xf numFmtId="0" fontId="33" fillId="0" borderId="10" xfId="0" applyFont="1" applyFill="1" applyBorder="1" applyAlignment="1" applyProtection="1">
      <alignment horizontal="center"/>
    </xf>
    <xf numFmtId="187" fontId="36" fillId="0" borderId="15" xfId="2" applyNumberFormat="1" applyFont="1" applyFill="1" applyBorder="1" applyAlignment="1" applyProtection="1">
      <alignment horizontal="center"/>
      <protection locked="0"/>
    </xf>
    <xf numFmtId="0" fontId="32" fillId="0" borderId="7" xfId="0" applyFont="1" applyFill="1" applyBorder="1" applyAlignment="1" applyProtection="1"/>
    <xf numFmtId="2" fontId="33" fillId="0" borderId="4" xfId="0" applyNumberFormat="1" applyFont="1" applyFill="1" applyBorder="1" applyAlignment="1" applyProtection="1">
      <alignment horizontal="center"/>
    </xf>
    <xf numFmtId="190" fontId="35" fillId="0" borderId="14" xfId="0" applyNumberFormat="1" applyFont="1" applyFill="1" applyBorder="1" applyAlignment="1" applyProtection="1">
      <alignment horizontal="center"/>
    </xf>
    <xf numFmtId="0" fontId="33" fillId="0" borderId="2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10" xfId="0" applyFont="1" applyFill="1" applyBorder="1" applyAlignment="1" applyProtection="1">
      <alignment horizontal="left"/>
    </xf>
    <xf numFmtId="0" fontId="33" fillId="0" borderId="6" xfId="0" applyFont="1" applyFill="1" applyBorder="1" applyAlignment="1" applyProtection="1">
      <alignment horizontal="left"/>
    </xf>
    <xf numFmtId="0" fontId="33" fillId="0" borderId="9" xfId="0" applyFont="1" applyFill="1" applyBorder="1" applyAlignment="1" applyProtection="1">
      <alignment horizontal="left"/>
    </xf>
    <xf numFmtId="0" fontId="31" fillId="0" borderId="11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center"/>
    </xf>
    <xf numFmtId="0" fontId="33" fillId="0" borderId="14" xfId="0" applyFont="1" applyFill="1" applyBorder="1" applyAlignment="1" applyProtection="1">
      <alignment horizontal="center"/>
    </xf>
    <xf numFmtId="0" fontId="33" fillId="0" borderId="2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5" xfId="0" applyFont="1" applyFill="1" applyBorder="1" applyAlignment="1" applyProtection="1">
      <alignment horizontal="center"/>
    </xf>
    <xf numFmtId="0" fontId="33" fillId="0" borderId="2" xfId="5" applyFont="1" applyFill="1" applyBorder="1" applyAlignment="1" applyProtection="1">
      <alignment horizontal="left"/>
    </xf>
    <xf numFmtId="0" fontId="33" fillId="0" borderId="0" xfId="5" applyFont="1" applyFill="1" applyBorder="1" applyAlignment="1" applyProtection="1">
      <alignment horizontal="left"/>
    </xf>
    <xf numFmtId="0" fontId="33" fillId="0" borderId="10" xfId="5" applyFont="1" applyFill="1" applyBorder="1" applyAlignment="1" applyProtection="1">
      <alignment horizontal="left"/>
    </xf>
    <xf numFmtId="0" fontId="33" fillId="0" borderId="6" xfId="5" applyFont="1" applyFill="1" applyBorder="1" applyAlignment="1" applyProtection="1">
      <alignment horizontal="left"/>
    </xf>
    <xf numFmtId="0" fontId="33" fillId="0" borderId="9" xfId="5" applyFont="1" applyFill="1" applyBorder="1" applyAlignment="1" applyProtection="1">
      <alignment horizontal="left"/>
    </xf>
    <xf numFmtId="0" fontId="33" fillId="0" borderId="2" xfId="5" applyFont="1" applyFill="1" applyBorder="1" applyAlignment="1" applyProtection="1"/>
    <xf numFmtId="0" fontId="33" fillId="0" borderId="10" xfId="5" applyFont="1" applyFill="1" applyBorder="1" applyAlignment="1" applyProtection="1"/>
    <xf numFmtId="0" fontId="33" fillId="0" borderId="14" xfId="5" applyFont="1" applyFill="1" applyBorder="1" applyAlignment="1" applyProtection="1">
      <alignment horizontal="center"/>
    </xf>
    <xf numFmtId="0" fontId="33" fillId="0" borderId="5" xfId="5" applyFont="1" applyFill="1" applyBorder="1" applyAlignment="1" applyProtection="1">
      <alignment horizontal="center"/>
    </xf>
    <xf numFmtId="0" fontId="33" fillId="0" borderId="2" xfId="0" applyFont="1" applyFill="1" applyBorder="1" applyAlignment="1" applyProtection="1">
      <alignment horizontal="left"/>
    </xf>
    <xf numFmtId="0" fontId="33" fillId="0" borderId="10" xfId="0" applyFont="1" applyFill="1" applyBorder="1" applyAlignment="1" applyProtection="1">
      <alignment horizontal="left"/>
    </xf>
    <xf numFmtId="0" fontId="33" fillId="0" borderId="2" xfId="5" applyFont="1" applyFill="1" applyBorder="1" applyAlignment="1" applyProtection="1">
      <alignment horizontal="left"/>
    </xf>
    <xf numFmtId="0" fontId="33" fillId="0" borderId="0" xfId="5" applyFont="1" applyFill="1" applyBorder="1" applyAlignment="1" applyProtection="1">
      <alignment horizontal="left"/>
    </xf>
    <xf numFmtId="0" fontId="33" fillId="0" borderId="10" xfId="5" applyFont="1" applyFill="1" applyBorder="1" applyAlignment="1" applyProtection="1">
      <alignment horizontal="left"/>
    </xf>
    <xf numFmtId="0" fontId="33" fillId="0" borderId="14" xfId="5" applyFont="1" applyFill="1" applyBorder="1" applyAlignment="1" applyProtection="1">
      <alignment horizontal="center"/>
    </xf>
    <xf numFmtId="0" fontId="33" fillId="0" borderId="6" xfId="5" applyFont="1" applyFill="1" applyBorder="1" applyAlignment="1" applyProtection="1">
      <alignment horizontal="left"/>
    </xf>
    <xf numFmtId="0" fontId="33" fillId="0" borderId="9" xfId="5" applyFont="1" applyFill="1" applyBorder="1" applyAlignment="1" applyProtection="1">
      <alignment horizontal="left"/>
    </xf>
    <xf numFmtId="0" fontId="33" fillId="0" borderId="2" xfId="5" applyFont="1" applyFill="1" applyBorder="1" applyAlignment="1" applyProtection="1"/>
    <xf numFmtId="0" fontId="33" fillId="0" borderId="10" xfId="5" applyFont="1" applyFill="1" applyBorder="1" applyAlignment="1" applyProtection="1"/>
    <xf numFmtId="189" fontId="33" fillId="0" borderId="1" xfId="2" applyNumberFormat="1" applyFont="1" applyFill="1" applyBorder="1" applyAlignment="1" applyProtection="1">
      <alignment horizontal="center"/>
    </xf>
    <xf numFmtId="3" fontId="52" fillId="0" borderId="4" xfId="2" applyNumberFormat="1" applyFont="1" applyFill="1" applyBorder="1" applyAlignment="1" applyProtection="1">
      <alignment horizontal="center"/>
    </xf>
    <xf numFmtId="2" fontId="33" fillId="0" borderId="0" xfId="5" applyNumberFormat="1" applyFont="1" applyFill="1" applyBorder="1" applyAlignment="1" applyProtection="1">
      <alignment horizontal="center"/>
    </xf>
    <xf numFmtId="0" fontId="33" fillId="0" borderId="10" xfId="5" applyFont="1" applyFill="1" applyBorder="1" applyAlignment="1" applyProtection="1">
      <alignment horizontal="center"/>
    </xf>
    <xf numFmtId="9" fontId="34" fillId="0" borderId="3" xfId="0" applyNumberFormat="1" applyFont="1" applyFill="1" applyBorder="1" applyAlignment="1" applyProtection="1">
      <alignment horizontal="center" vertical="top" wrapText="1"/>
    </xf>
    <xf numFmtId="9" fontId="34" fillId="0" borderId="2" xfId="0" applyNumberFormat="1" applyFont="1" applyFill="1" applyBorder="1" applyAlignment="1" applyProtection="1">
      <alignment horizontal="center" vertical="top" wrapText="1"/>
    </xf>
    <xf numFmtId="187" fontId="36" fillId="0" borderId="0" xfId="2" applyFont="1" applyFill="1" applyBorder="1" applyAlignment="1" applyProtection="1">
      <alignment horizontal="center"/>
      <protection locked="0"/>
    </xf>
    <xf numFmtId="0" fontId="31" fillId="0" borderId="4" xfId="0" applyFont="1" applyFill="1" applyBorder="1" applyAlignment="1" applyProtection="1">
      <alignment horizontal="left"/>
    </xf>
    <xf numFmtId="0" fontId="31" fillId="0" borderId="11" xfId="5" applyFont="1" applyFill="1" applyBorder="1" applyAlignment="1" applyProtection="1">
      <alignment horizontal="center"/>
    </xf>
    <xf numFmtId="0" fontId="31" fillId="0" borderId="14" xfId="5" applyFont="1" applyFill="1" applyBorder="1" applyAlignment="1" applyProtection="1">
      <alignment horizontal="center"/>
    </xf>
    <xf numFmtId="0" fontId="33" fillId="0" borderId="2" xfId="5" applyFont="1" applyFill="1" applyBorder="1" applyAlignment="1" applyProtection="1">
      <alignment horizontal="right"/>
    </xf>
    <xf numFmtId="189" fontId="33" fillId="0" borderId="15" xfId="2" applyNumberFormat="1" applyFont="1" applyFill="1" applyBorder="1" applyAlignment="1" applyProtection="1">
      <alignment horizontal="left"/>
      <protection locked="0"/>
    </xf>
    <xf numFmtId="189" fontId="33" fillId="0" borderId="15" xfId="2" applyNumberFormat="1" applyFont="1" applyFill="1" applyBorder="1" applyAlignment="1" applyProtection="1">
      <alignment horizontal="center"/>
      <protection locked="0"/>
    </xf>
    <xf numFmtId="0" fontId="31" fillId="0" borderId="7" xfId="5" applyFont="1" applyFill="1" applyBorder="1" applyAlignment="1" applyProtection="1">
      <alignment horizontal="right"/>
    </xf>
    <xf numFmtId="0" fontId="31" fillId="0" borderId="11" xfId="5" applyFont="1" applyFill="1" applyBorder="1" applyAlignment="1" applyProtection="1">
      <alignment horizontal="center"/>
      <protection locked="0"/>
    </xf>
    <xf numFmtId="9" fontId="31" fillId="0" borderId="3" xfId="5" applyNumberFormat="1" applyFont="1" applyFill="1" applyBorder="1" applyAlignment="1" applyProtection="1">
      <alignment horizontal="center" vertical="top" wrapText="1"/>
    </xf>
    <xf numFmtId="0" fontId="33" fillId="0" borderId="7" xfId="5" applyFont="1" applyFill="1" applyBorder="1" applyAlignment="1" applyProtection="1">
      <alignment horizontal="right"/>
    </xf>
    <xf numFmtId="49" fontId="33" fillId="0" borderId="11" xfId="5" applyNumberFormat="1" applyFont="1" applyFill="1" applyBorder="1" applyAlignment="1" applyProtection="1">
      <alignment horizontal="center"/>
    </xf>
    <xf numFmtId="0" fontId="32" fillId="0" borderId="1" xfId="5" applyFont="1" applyFill="1" applyBorder="1" applyAlignment="1" applyProtection="1">
      <alignment horizontal="left"/>
    </xf>
    <xf numFmtId="9" fontId="34" fillId="0" borderId="1" xfId="5" applyNumberFormat="1" applyFont="1" applyFill="1" applyBorder="1" applyAlignment="1" applyProtection="1">
      <alignment horizontal="center"/>
    </xf>
    <xf numFmtId="0" fontId="40" fillId="0" borderId="3" xfId="5" applyFont="1" applyFill="1" applyBorder="1" applyAlignment="1" applyProtection="1"/>
    <xf numFmtId="49" fontId="33" fillId="0" borderId="0" xfId="5" applyNumberFormat="1" applyFont="1" applyFill="1" applyBorder="1" applyAlignment="1" applyProtection="1">
      <alignment horizontal="right"/>
    </xf>
    <xf numFmtId="49" fontId="33" fillId="0" borderId="0" xfId="5" applyNumberFormat="1" applyFont="1" applyFill="1" applyBorder="1" applyAlignment="1" applyProtection="1">
      <alignment horizontal="center"/>
    </xf>
    <xf numFmtId="0" fontId="32" fillId="0" borderId="6" xfId="5" applyFont="1" applyFill="1" applyBorder="1" applyAlignment="1" applyProtection="1"/>
    <xf numFmtId="0" fontId="32" fillId="0" borderId="2" xfId="5" applyFont="1" applyFill="1" applyBorder="1" applyAlignment="1" applyProtection="1"/>
    <xf numFmtId="2" fontId="33" fillId="0" borderId="3" xfId="5" applyNumberFormat="1" applyFont="1" applyFill="1" applyBorder="1" applyAlignment="1" applyProtection="1">
      <alignment horizontal="center"/>
    </xf>
    <xf numFmtId="0" fontId="32" fillId="0" borderId="7" xfId="5" applyFont="1" applyFill="1" applyBorder="1" applyAlignment="1" applyProtection="1"/>
    <xf numFmtId="2" fontId="33" fillId="0" borderId="4" xfId="5" applyNumberFormat="1" applyFont="1" applyFill="1" applyBorder="1" applyAlignment="1" applyProtection="1">
      <alignment horizontal="center"/>
    </xf>
    <xf numFmtId="190" fontId="35" fillId="0" borderId="14" xfId="5" applyNumberFormat="1" applyFont="1" applyFill="1" applyBorder="1" applyAlignment="1" applyProtection="1">
      <alignment horizontal="center"/>
    </xf>
    <xf numFmtId="1" fontId="33" fillId="0" borderId="4" xfId="5" applyNumberFormat="1" applyFont="1" applyFill="1" applyBorder="1" applyAlignment="1" applyProtection="1">
      <alignment horizontal="center"/>
    </xf>
    <xf numFmtId="3" fontId="33" fillId="0" borderId="5" xfId="2" applyNumberFormat="1" applyFont="1" applyFill="1" applyBorder="1" applyAlignment="1" applyProtection="1">
      <alignment horizontal="center"/>
      <protection locked="0"/>
    </xf>
    <xf numFmtId="189" fontId="33" fillId="0" borderId="16" xfId="2" applyNumberFormat="1" applyFont="1" applyFill="1" applyBorder="1" applyAlignment="1" applyProtection="1">
      <alignment horizontal="center"/>
    </xf>
    <xf numFmtId="3" fontId="33" fillId="0" borderId="3" xfId="2" applyNumberFormat="1" applyFont="1" applyFill="1" applyBorder="1" applyAlignment="1" applyProtection="1">
      <alignment horizontal="center"/>
      <protection locked="0"/>
    </xf>
    <xf numFmtId="0" fontId="33" fillId="0" borderId="2" xfId="0" applyFont="1" applyFill="1" applyBorder="1" applyAlignment="1" applyProtection="1">
      <alignment horizontal="left"/>
    </xf>
    <xf numFmtId="3" fontId="33" fillId="0" borderId="1" xfId="2" applyNumberFormat="1" applyFont="1" applyFill="1" applyBorder="1" applyAlignment="1" applyProtection="1">
      <alignment horizontal="center"/>
    </xf>
    <xf numFmtId="0" fontId="7" fillId="4" borderId="0" xfId="3" applyFont="1" applyFill="1" applyAlignment="1" applyProtection="1">
      <alignment horizontal="center"/>
    </xf>
    <xf numFmtId="0" fontId="10" fillId="4" borderId="0" xfId="3" applyFont="1" applyFill="1" applyAlignment="1" applyProtection="1">
      <alignment horizontal="center"/>
    </xf>
    <xf numFmtId="0" fontId="3" fillId="2" borderId="5" xfId="3" applyFont="1" applyFill="1" applyBorder="1" applyAlignment="1" applyProtection="1">
      <alignment horizontal="center"/>
    </xf>
    <xf numFmtId="0" fontId="3" fillId="2" borderId="6" xfId="3" applyFont="1" applyFill="1" applyBorder="1" applyAlignment="1" applyProtection="1">
      <alignment horizontal="center" vertical="center"/>
    </xf>
    <xf numFmtId="0" fontId="3" fillId="2" borderId="8" xfId="3" applyFont="1" applyFill="1" applyBorder="1" applyAlignment="1" applyProtection="1">
      <alignment horizontal="center" vertical="center"/>
    </xf>
    <xf numFmtId="0" fontId="3" fillId="2" borderId="9" xfId="3" applyFont="1" applyFill="1" applyBorder="1" applyAlignment="1" applyProtection="1">
      <alignment horizontal="center" vertical="center"/>
    </xf>
    <xf numFmtId="0" fontId="3" fillId="2" borderId="7" xfId="3" applyFont="1" applyFill="1" applyBorder="1" applyAlignment="1" applyProtection="1">
      <alignment horizontal="center" vertical="center"/>
    </xf>
    <xf numFmtId="0" fontId="3" fillId="2" borderId="11" xfId="3" applyFont="1" applyFill="1" applyBorder="1" applyAlignment="1" applyProtection="1">
      <alignment horizontal="center" vertical="center"/>
    </xf>
    <xf numFmtId="0" fontId="3" fillId="2" borderId="14" xfId="3" applyFont="1" applyFill="1" applyBorder="1" applyAlignment="1" applyProtection="1">
      <alignment horizontal="center" vertical="center"/>
    </xf>
    <xf numFmtId="0" fontId="3" fillId="2" borderId="5" xfId="3" applyFont="1" applyFill="1" applyBorder="1" applyAlignment="1" applyProtection="1">
      <alignment horizontal="center" wrapText="1"/>
    </xf>
    <xf numFmtId="0" fontId="5" fillId="0" borderId="2" xfId="3" applyFont="1" applyFill="1" applyBorder="1" applyAlignment="1" applyProtection="1">
      <alignment horizontal="left"/>
    </xf>
    <xf numFmtId="0" fontId="5" fillId="0" borderId="0" xfId="3" applyFont="1" applyFill="1" applyBorder="1" applyAlignment="1" applyProtection="1">
      <alignment horizontal="left"/>
    </xf>
    <xf numFmtId="0" fontId="5" fillId="0" borderId="10" xfId="3" applyFont="1" applyFill="1" applyBorder="1" applyAlignment="1" applyProtection="1">
      <alignment horizontal="left"/>
    </xf>
    <xf numFmtId="0" fontId="5" fillId="0" borderId="18" xfId="3" applyFont="1" applyFill="1" applyBorder="1" applyAlignment="1" applyProtection="1">
      <alignment horizontal="center" vertical="center"/>
    </xf>
    <xf numFmtId="0" fontId="5" fillId="0" borderId="5" xfId="3" applyFont="1" applyFill="1" applyBorder="1" applyAlignment="1" applyProtection="1">
      <alignment horizontal="center" vertical="center"/>
    </xf>
    <xf numFmtId="0" fontId="5" fillId="0" borderId="5" xfId="3" applyFont="1" applyFill="1" applyBorder="1" applyAlignment="1" applyProtection="1">
      <alignment horizontal="center"/>
    </xf>
    <xf numFmtId="0" fontId="5" fillId="0" borderId="16" xfId="3" applyFont="1" applyFill="1" applyBorder="1" applyAlignment="1" applyProtection="1">
      <alignment horizontal="left"/>
    </xf>
    <xf numFmtId="0" fontId="5" fillId="0" borderId="18" xfId="3" applyFont="1" applyFill="1" applyBorder="1" applyAlignment="1" applyProtection="1">
      <alignment horizontal="left"/>
    </xf>
    <xf numFmtId="0" fontId="5" fillId="0" borderId="7" xfId="3" applyFont="1" applyFill="1" applyBorder="1" applyAlignment="1" applyProtection="1">
      <alignment horizontal="left"/>
    </xf>
    <xf numFmtId="0" fontId="5" fillId="0" borderId="14" xfId="3" applyFont="1" applyFill="1" applyBorder="1" applyAlignment="1" applyProtection="1">
      <alignment horizontal="left"/>
    </xf>
    <xf numFmtId="0" fontId="3" fillId="0" borderId="13" xfId="3" applyFont="1" applyFill="1" applyBorder="1" applyAlignment="1" applyProtection="1">
      <alignment horizontal="center"/>
    </xf>
    <xf numFmtId="0" fontId="5" fillId="0" borderId="6" xfId="3" applyFont="1" applyFill="1" applyBorder="1" applyAlignment="1" applyProtection="1">
      <alignment horizontal="left"/>
    </xf>
    <xf numFmtId="0" fontId="5" fillId="0" borderId="8" xfId="3" applyFont="1" applyFill="1" applyBorder="1" applyAlignment="1" applyProtection="1">
      <alignment horizontal="left"/>
    </xf>
    <xf numFmtId="0" fontId="5" fillId="0" borderId="9" xfId="3" applyFont="1" applyFill="1" applyBorder="1" applyAlignment="1" applyProtection="1">
      <alignment horizontal="left"/>
    </xf>
    <xf numFmtId="0" fontId="4" fillId="0" borderId="7" xfId="3" applyFont="1" applyFill="1" applyBorder="1" applyAlignment="1" applyProtection="1">
      <alignment horizontal="center"/>
    </xf>
    <xf numFmtId="0" fontId="4" fillId="0" borderId="11" xfId="3" applyFont="1" applyFill="1" applyBorder="1" applyAlignment="1" applyProtection="1">
      <alignment horizontal="center"/>
    </xf>
    <xf numFmtId="0" fontId="4" fillId="0" borderId="14" xfId="3" applyFont="1" applyFill="1" applyBorder="1" applyAlignment="1" applyProtection="1">
      <alignment horizontal="center"/>
    </xf>
    <xf numFmtId="0" fontId="5" fillId="0" borderId="2" xfId="3" applyFont="1" applyFill="1" applyBorder="1" applyAlignment="1" applyProtection="1"/>
    <xf numFmtId="0" fontId="5" fillId="0" borderId="0" xfId="3" applyFont="1" applyFill="1" applyBorder="1" applyAlignment="1" applyProtection="1"/>
    <xf numFmtId="0" fontId="5" fillId="0" borderId="10" xfId="3" applyFont="1" applyFill="1" applyBorder="1" applyAlignment="1" applyProtection="1"/>
    <xf numFmtId="0" fontId="4" fillId="0" borderId="0" xfId="3" applyFont="1" applyFill="1" applyBorder="1" applyAlignment="1" applyProtection="1"/>
    <xf numFmtId="0" fontId="4" fillId="0" borderId="10" xfId="3" applyFont="1" applyFill="1" applyBorder="1" applyAlignment="1" applyProtection="1"/>
    <xf numFmtId="0" fontId="5" fillId="0" borderId="7" xfId="3" applyFont="1" applyFill="1" applyBorder="1" applyAlignment="1" applyProtection="1">
      <alignment horizontal="center"/>
    </xf>
    <xf numFmtId="0" fontId="5" fillId="0" borderId="11" xfId="3" applyFont="1" applyFill="1" applyBorder="1" applyAlignment="1" applyProtection="1">
      <alignment horizontal="center"/>
    </xf>
    <xf numFmtId="0" fontId="5" fillId="0" borderId="14" xfId="3" applyFont="1" applyFill="1" applyBorder="1" applyAlignment="1" applyProtection="1">
      <alignment horizontal="center"/>
    </xf>
    <xf numFmtId="0" fontId="7" fillId="0" borderId="16" xfId="3" applyFont="1" applyFill="1" applyBorder="1" applyAlignment="1" applyProtection="1">
      <alignment horizontal="right"/>
    </xf>
    <xf numFmtId="0" fontId="7" fillId="0" borderId="17" xfId="3" applyFont="1" applyFill="1" applyBorder="1" applyAlignment="1" applyProtection="1">
      <alignment horizontal="right"/>
    </xf>
    <xf numFmtId="0" fontId="7" fillId="0" borderId="18" xfId="3" applyFont="1" applyFill="1" applyBorder="1" applyAlignment="1" applyProtection="1">
      <alignment horizontal="right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left"/>
    </xf>
    <xf numFmtId="0" fontId="5" fillId="0" borderId="18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left"/>
    </xf>
    <xf numFmtId="0" fontId="5" fillId="0" borderId="10" xfId="0" applyFont="1" applyFill="1" applyBorder="1" applyAlignment="1" applyProtection="1">
      <alignment horizontal="left"/>
    </xf>
    <xf numFmtId="0" fontId="7" fillId="4" borderId="0" xfId="0" applyFont="1" applyFill="1" applyAlignment="1" applyProtection="1">
      <alignment horizontal="center"/>
    </xf>
    <xf numFmtId="0" fontId="10" fillId="4" borderId="0" xfId="0" applyFont="1" applyFill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wrapText="1"/>
    </xf>
    <xf numFmtId="0" fontId="5" fillId="0" borderId="7" xfId="0" applyFont="1" applyFill="1" applyBorder="1" applyAlignment="1" applyProtection="1">
      <alignment horizontal="left"/>
    </xf>
    <xf numFmtId="0" fontId="5" fillId="0" borderId="14" xfId="0" applyFont="1" applyFill="1" applyBorder="1" applyAlignment="1" applyProtection="1">
      <alignment horizontal="left"/>
    </xf>
    <xf numFmtId="0" fontId="3" fillId="0" borderId="13" xfId="0" applyFont="1" applyFill="1" applyBorder="1" applyAlignment="1" applyProtection="1">
      <alignment horizontal="center"/>
    </xf>
    <xf numFmtId="0" fontId="5" fillId="0" borderId="8" xfId="0" applyFont="1" applyFill="1" applyBorder="1" applyAlignment="1" applyProtection="1">
      <alignment horizontal="left"/>
    </xf>
    <xf numFmtId="0" fontId="5" fillId="0" borderId="9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6" xfId="0" applyFont="1" applyFill="1" applyBorder="1" applyAlignment="1" applyProtection="1">
      <alignment horizontal="left"/>
    </xf>
    <xf numFmtId="0" fontId="4" fillId="0" borderId="7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0" xfId="0" applyFont="1" applyFill="1" applyBorder="1" applyAlignment="1" applyProtection="1"/>
    <xf numFmtId="0" fontId="5" fillId="0" borderId="11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center"/>
    </xf>
    <xf numFmtId="0" fontId="7" fillId="0" borderId="16" xfId="0" applyFont="1" applyFill="1" applyBorder="1" applyAlignment="1" applyProtection="1">
      <alignment horizontal="right"/>
    </xf>
    <xf numFmtId="0" fontId="7" fillId="0" borderId="17" xfId="0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right"/>
    </xf>
    <xf numFmtId="0" fontId="7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wrapText="1"/>
    </xf>
    <xf numFmtId="0" fontId="33" fillId="0" borderId="2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10" xfId="0" applyFont="1" applyFill="1" applyBorder="1" applyAlignment="1" applyProtection="1">
      <alignment horizontal="left"/>
    </xf>
    <xf numFmtId="0" fontId="33" fillId="0" borderId="6" xfId="0" applyFont="1" applyFill="1" applyBorder="1" applyAlignment="1" applyProtection="1">
      <alignment horizontal="left"/>
    </xf>
    <xf numFmtId="0" fontId="33" fillId="0" borderId="8" xfId="0" applyFont="1" applyFill="1" applyBorder="1" applyAlignment="1" applyProtection="1">
      <alignment horizontal="left"/>
    </xf>
    <xf numFmtId="0" fontId="33" fillId="0" borderId="9" xfId="0" applyFont="1" applyFill="1" applyBorder="1" applyAlignment="1" applyProtection="1">
      <alignment horizontal="left"/>
    </xf>
    <xf numFmtId="0" fontId="33" fillId="0" borderId="7" xfId="0" applyFont="1" applyFill="1" applyBorder="1" applyAlignment="1" applyProtection="1">
      <alignment horizontal="center"/>
    </xf>
    <xf numFmtId="0" fontId="31" fillId="0" borderId="11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center"/>
    </xf>
    <xf numFmtId="0" fontId="33" fillId="0" borderId="11" xfId="0" applyFont="1" applyFill="1" applyBorder="1" applyAlignment="1" applyProtection="1">
      <alignment horizontal="center"/>
    </xf>
    <xf numFmtId="0" fontId="33" fillId="0" borderId="14" xfId="0" applyFont="1" applyFill="1" applyBorder="1" applyAlignment="1" applyProtection="1">
      <alignment horizontal="center"/>
    </xf>
    <xf numFmtId="0" fontId="33" fillId="0" borderId="2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0" xfId="0" applyFont="1" applyFill="1" applyBorder="1" applyAlignment="1" applyProtection="1"/>
    <xf numFmtId="0" fontId="31" fillId="0" borderId="0" xfId="0" applyFont="1" applyFill="1" applyBorder="1" applyAlignment="1" applyProtection="1"/>
    <xf numFmtId="0" fontId="31" fillId="0" borderId="10" xfId="0" applyFont="1" applyFill="1" applyBorder="1" applyAlignment="1" applyProtection="1"/>
    <xf numFmtId="0" fontId="39" fillId="0" borderId="6" xfId="0" applyFont="1" applyFill="1" applyBorder="1" applyAlignment="1" applyProtection="1">
      <alignment horizontal="left"/>
    </xf>
    <xf numFmtId="0" fontId="39" fillId="0" borderId="8" xfId="0" applyFont="1" applyFill="1" applyBorder="1" applyAlignment="1" applyProtection="1">
      <alignment horizontal="left"/>
    </xf>
    <xf numFmtId="0" fontId="39" fillId="0" borderId="9" xfId="0" applyFont="1" applyFill="1" applyBorder="1" applyAlignment="1" applyProtection="1">
      <alignment horizontal="left"/>
    </xf>
    <xf numFmtId="0" fontId="31" fillId="0" borderId="7" xfId="0" applyFont="1" applyFill="1" applyBorder="1" applyAlignment="1" applyProtection="1">
      <alignment horizontal="center"/>
    </xf>
    <xf numFmtId="0" fontId="33" fillId="0" borderId="16" xfId="0" applyFont="1" applyFill="1" applyBorder="1" applyAlignment="1" applyProtection="1">
      <alignment horizontal="left" vertical="center"/>
    </xf>
    <xf numFmtId="0" fontId="33" fillId="0" borderId="18" xfId="0" applyFont="1" applyFill="1" applyBorder="1" applyAlignment="1" applyProtection="1">
      <alignment horizontal="left" vertical="center"/>
    </xf>
    <xf numFmtId="0" fontId="33" fillId="0" borderId="18" xfId="0" applyFont="1" applyFill="1" applyBorder="1" applyAlignment="1" applyProtection="1">
      <alignment horizontal="center" vertical="center"/>
    </xf>
    <xf numFmtId="0" fontId="33" fillId="0" borderId="5" xfId="0" applyFont="1" applyFill="1" applyBorder="1" applyAlignment="1" applyProtection="1">
      <alignment horizontal="center" vertical="center"/>
    </xf>
    <xf numFmtId="0" fontId="33" fillId="0" borderId="5" xfId="0" applyFont="1" applyFill="1" applyBorder="1" applyAlignment="1" applyProtection="1">
      <alignment horizontal="center"/>
    </xf>
    <xf numFmtId="0" fontId="32" fillId="0" borderId="13" xfId="0" applyFont="1" applyFill="1" applyBorder="1" applyAlignment="1" applyProtection="1">
      <alignment horizontal="center"/>
    </xf>
    <xf numFmtId="0" fontId="33" fillId="0" borderId="7" xfId="0" applyFont="1" applyFill="1" applyBorder="1" applyAlignment="1" applyProtection="1">
      <alignment horizontal="left"/>
    </xf>
    <xf numFmtId="0" fontId="33" fillId="0" borderId="14" xfId="0" applyFont="1" applyFill="1" applyBorder="1" applyAlignment="1" applyProtection="1">
      <alignment horizontal="left"/>
    </xf>
    <xf numFmtId="0" fontId="29" fillId="0" borderId="0" xfId="0" applyFont="1" applyFill="1" applyAlignment="1" applyProtection="1">
      <alignment horizontal="center"/>
    </xf>
    <xf numFmtId="0" fontId="30" fillId="0" borderId="0" xfId="0" applyFont="1" applyFill="1" applyAlignment="1" applyProtection="1">
      <alignment horizontal="center"/>
    </xf>
    <xf numFmtId="0" fontId="32" fillId="0" borderId="5" xfId="0" applyFont="1" applyFill="1" applyBorder="1" applyAlignment="1" applyProtection="1">
      <alignment horizontal="center"/>
    </xf>
    <xf numFmtId="0" fontId="32" fillId="0" borderId="6" xfId="0" applyFont="1" applyFill="1" applyBorder="1" applyAlignment="1" applyProtection="1">
      <alignment horizontal="center" vertical="center"/>
    </xf>
    <xf numFmtId="0" fontId="32" fillId="0" borderId="8" xfId="0" applyFont="1" applyFill="1" applyBorder="1" applyAlignment="1" applyProtection="1">
      <alignment horizontal="center" vertical="center"/>
    </xf>
    <xf numFmtId="0" fontId="32" fillId="0" borderId="9" xfId="0" applyFont="1" applyFill="1" applyBorder="1" applyAlignment="1" applyProtection="1">
      <alignment horizontal="center" vertical="center"/>
    </xf>
    <xf numFmtId="0" fontId="32" fillId="0" borderId="7" xfId="0" applyFont="1" applyFill="1" applyBorder="1" applyAlignment="1" applyProtection="1">
      <alignment horizontal="center" vertical="center"/>
    </xf>
    <xf numFmtId="0" fontId="32" fillId="0" borderId="11" xfId="0" applyFont="1" applyFill="1" applyBorder="1" applyAlignment="1" applyProtection="1">
      <alignment horizontal="center" vertical="center"/>
    </xf>
    <xf numFmtId="0" fontId="32" fillId="0" borderId="14" xfId="0" applyFont="1" applyFill="1" applyBorder="1" applyAlignment="1" applyProtection="1">
      <alignment horizontal="center" vertical="center"/>
    </xf>
    <xf numFmtId="0" fontId="32" fillId="0" borderId="5" xfId="0" applyFont="1" applyFill="1" applyBorder="1" applyAlignment="1" applyProtection="1">
      <alignment horizontal="center" wrapText="1"/>
    </xf>
    <xf numFmtId="0" fontId="33" fillId="0" borderId="6" xfId="5" applyFont="1" applyFill="1" applyBorder="1" applyAlignment="1" applyProtection="1">
      <alignment horizontal="left"/>
    </xf>
    <xf numFmtId="0" fontId="33" fillId="0" borderId="8" xfId="5" applyFont="1" applyFill="1" applyBorder="1" applyAlignment="1" applyProtection="1">
      <alignment horizontal="left"/>
    </xf>
    <xf numFmtId="0" fontId="33" fillId="0" borderId="9" xfId="5" applyFont="1" applyFill="1" applyBorder="1" applyAlignment="1" applyProtection="1">
      <alignment horizontal="left"/>
    </xf>
    <xf numFmtId="0" fontId="4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1" fillId="0" borderId="5" xfId="0" applyFont="1" applyFill="1" applyBorder="1" applyAlignment="1" applyProtection="1">
      <alignment horizontal="center" wrapText="1"/>
    </xf>
    <xf numFmtId="0" fontId="32" fillId="6" borderId="5" xfId="0" applyFont="1" applyFill="1" applyBorder="1" applyAlignment="1" applyProtection="1">
      <alignment horizontal="center"/>
    </xf>
    <xf numFmtId="0" fontId="32" fillId="6" borderId="6" xfId="0" applyFont="1" applyFill="1" applyBorder="1" applyAlignment="1" applyProtection="1">
      <alignment horizontal="center" vertical="center"/>
    </xf>
    <xf numFmtId="0" fontId="32" fillId="6" borderId="8" xfId="0" applyFont="1" applyFill="1" applyBorder="1" applyAlignment="1" applyProtection="1">
      <alignment horizontal="center" vertical="center"/>
    </xf>
    <xf numFmtId="0" fontId="32" fillId="6" borderId="9" xfId="0" applyFont="1" applyFill="1" applyBorder="1" applyAlignment="1" applyProtection="1">
      <alignment horizontal="center" vertical="center"/>
    </xf>
    <xf numFmtId="0" fontId="32" fillId="6" borderId="7" xfId="0" applyFont="1" applyFill="1" applyBorder="1" applyAlignment="1" applyProtection="1">
      <alignment horizontal="center" vertical="center"/>
    </xf>
    <xf numFmtId="0" fontId="32" fillId="6" borderId="11" xfId="0" applyFont="1" applyFill="1" applyBorder="1" applyAlignment="1" applyProtection="1">
      <alignment horizontal="center" vertical="center"/>
    </xf>
    <xf numFmtId="0" fontId="32" fillId="6" borderId="14" xfId="0" applyFont="1" applyFill="1" applyBorder="1" applyAlignment="1" applyProtection="1">
      <alignment horizontal="center" vertical="center"/>
    </xf>
    <xf numFmtId="0" fontId="32" fillId="6" borderId="5" xfId="0" applyFont="1" applyFill="1" applyBorder="1" applyAlignment="1" applyProtection="1">
      <alignment horizontal="center" wrapText="1"/>
    </xf>
    <xf numFmtId="0" fontId="29" fillId="0" borderId="0" xfId="5" applyFont="1" applyFill="1" applyAlignment="1" applyProtection="1">
      <alignment horizontal="center"/>
    </xf>
    <xf numFmtId="0" fontId="30" fillId="0" borderId="0" xfId="5" applyFont="1" applyFill="1" applyAlignment="1" applyProtection="1">
      <alignment horizontal="center"/>
    </xf>
    <xf numFmtId="0" fontId="32" fillId="0" borderId="5" xfId="5" applyFont="1" applyFill="1" applyBorder="1" applyAlignment="1" applyProtection="1">
      <alignment horizontal="center"/>
    </xf>
    <xf numFmtId="0" fontId="32" fillId="0" borderId="6" xfId="5" applyFont="1" applyFill="1" applyBorder="1" applyAlignment="1" applyProtection="1">
      <alignment horizontal="center" vertical="center"/>
    </xf>
    <xf numFmtId="0" fontId="32" fillId="0" borderId="8" xfId="5" applyFont="1" applyFill="1" applyBorder="1" applyAlignment="1" applyProtection="1">
      <alignment horizontal="center" vertical="center"/>
    </xf>
    <xf numFmtId="0" fontId="32" fillId="0" borderId="9" xfId="5" applyFont="1" applyFill="1" applyBorder="1" applyAlignment="1" applyProtection="1">
      <alignment horizontal="center" vertical="center"/>
    </xf>
    <xf numFmtId="0" fontId="32" fillId="0" borderId="7" xfId="5" applyFont="1" applyFill="1" applyBorder="1" applyAlignment="1" applyProtection="1">
      <alignment horizontal="center" vertical="center"/>
    </xf>
    <xf numFmtId="0" fontId="32" fillId="0" borderId="11" xfId="5" applyFont="1" applyFill="1" applyBorder="1" applyAlignment="1" applyProtection="1">
      <alignment horizontal="center" vertical="center"/>
    </xf>
    <xf numFmtId="0" fontId="32" fillId="0" borderId="14" xfId="5" applyFont="1" applyFill="1" applyBorder="1" applyAlignment="1" applyProtection="1">
      <alignment horizontal="center" vertical="center"/>
    </xf>
    <xf numFmtId="0" fontId="32" fillId="0" borderId="5" xfId="5" applyFont="1" applyFill="1" applyBorder="1" applyAlignment="1" applyProtection="1">
      <alignment horizontal="center" wrapText="1"/>
    </xf>
    <xf numFmtId="0" fontId="33" fillId="0" borderId="2" xfId="5" applyFont="1" applyFill="1" applyBorder="1" applyAlignment="1" applyProtection="1">
      <alignment horizontal="left"/>
    </xf>
    <xf numFmtId="0" fontId="33" fillId="0" borderId="0" xfId="5" applyFont="1" applyFill="1" applyBorder="1" applyAlignment="1" applyProtection="1">
      <alignment horizontal="left"/>
    </xf>
    <xf numFmtId="0" fontId="33" fillId="0" borderId="10" xfId="5" applyFont="1" applyFill="1" applyBorder="1" applyAlignment="1" applyProtection="1">
      <alignment horizontal="left"/>
    </xf>
    <xf numFmtId="0" fontId="33" fillId="0" borderId="2" xfId="5" applyFont="1" applyFill="1" applyBorder="1" applyAlignment="1" applyProtection="1"/>
    <xf numFmtId="0" fontId="33" fillId="0" borderId="0" xfId="5" applyFont="1" applyFill="1" applyBorder="1" applyAlignment="1" applyProtection="1"/>
    <xf numFmtId="0" fontId="33" fillId="0" borderId="10" xfId="5" applyFont="1" applyFill="1" applyBorder="1" applyAlignment="1" applyProtection="1"/>
    <xf numFmtId="0" fontId="31" fillId="0" borderId="7" xfId="5" applyFont="1" applyFill="1" applyBorder="1" applyAlignment="1" applyProtection="1">
      <alignment horizontal="center"/>
    </xf>
    <xf numFmtId="0" fontId="31" fillId="0" borderId="11" xfId="5" applyFont="1" applyFill="1" applyBorder="1" applyAlignment="1" applyProtection="1">
      <alignment horizontal="center"/>
    </xf>
    <xf numFmtId="0" fontId="31" fillId="0" borderId="14" xfId="5" applyFont="1" applyFill="1" applyBorder="1" applyAlignment="1" applyProtection="1">
      <alignment horizontal="center"/>
    </xf>
    <xf numFmtId="0" fontId="41" fillId="0" borderId="5" xfId="5" applyFont="1" applyBorder="1" applyAlignment="1">
      <alignment horizontal="center" vertical="center"/>
    </xf>
    <xf numFmtId="0" fontId="6" fillId="0" borderId="5" xfId="5" applyBorder="1" applyAlignment="1">
      <alignment horizontal="center" vertical="center"/>
    </xf>
    <xf numFmtId="0" fontId="33" fillId="0" borderId="7" xfId="5" applyFont="1" applyFill="1" applyBorder="1" applyAlignment="1" applyProtection="1">
      <alignment horizontal="center"/>
    </xf>
    <xf numFmtId="0" fontId="33" fillId="0" borderId="11" xfId="5" applyFont="1" applyFill="1" applyBorder="1" applyAlignment="1" applyProtection="1">
      <alignment horizontal="center"/>
    </xf>
    <xf numFmtId="0" fontId="33" fillId="0" borderId="14" xfId="5" applyFont="1" applyFill="1" applyBorder="1" applyAlignment="1" applyProtection="1">
      <alignment horizontal="center"/>
    </xf>
    <xf numFmtId="0" fontId="41" fillId="0" borderId="5" xfId="5" applyFont="1" applyFill="1" applyBorder="1" applyAlignment="1" applyProtection="1">
      <alignment horizontal="center" wrapText="1"/>
    </xf>
    <xf numFmtId="0" fontId="41" fillId="0" borderId="16" xfId="5" applyFont="1" applyBorder="1" applyAlignment="1">
      <alignment horizontal="center" vertical="center"/>
    </xf>
    <xf numFmtId="0" fontId="41" fillId="0" borderId="18" xfId="5" applyFont="1" applyBorder="1" applyAlignment="1">
      <alignment horizontal="center" vertical="center"/>
    </xf>
    <xf numFmtId="0" fontId="39" fillId="0" borderId="6" xfId="5" applyFont="1" applyFill="1" applyBorder="1" applyAlignment="1" applyProtection="1">
      <alignment horizontal="left"/>
    </xf>
    <xf numFmtId="0" fontId="39" fillId="0" borderId="8" xfId="5" applyFont="1" applyFill="1" applyBorder="1" applyAlignment="1" applyProtection="1">
      <alignment horizontal="left"/>
    </xf>
    <xf numFmtId="0" fontId="39" fillId="0" borderId="9" xfId="5" applyFont="1" applyFill="1" applyBorder="1" applyAlignment="1" applyProtection="1">
      <alignment horizontal="left"/>
    </xf>
    <xf numFmtId="0" fontId="33" fillId="0" borderId="18" xfId="5" applyFont="1" applyFill="1" applyBorder="1" applyAlignment="1" applyProtection="1">
      <alignment horizontal="center" vertical="center"/>
    </xf>
    <xf numFmtId="0" fontId="33" fillId="0" borderId="5" xfId="5" applyFont="1" applyFill="1" applyBorder="1" applyAlignment="1" applyProtection="1">
      <alignment horizontal="center" vertical="center"/>
    </xf>
    <xf numFmtId="0" fontId="33" fillId="0" borderId="5" xfId="5" applyFont="1" applyFill="1" applyBorder="1" applyAlignment="1" applyProtection="1">
      <alignment horizontal="center"/>
    </xf>
    <xf numFmtId="0" fontId="32" fillId="0" borderId="13" xfId="5" applyFont="1" applyFill="1" applyBorder="1" applyAlignment="1" applyProtection="1">
      <alignment horizontal="center"/>
    </xf>
    <xf numFmtId="2" fontId="31" fillId="0" borderId="7" xfId="5" applyNumberFormat="1" applyFont="1" applyFill="1" applyBorder="1" applyAlignment="1" applyProtection="1">
      <alignment horizontal="center"/>
    </xf>
    <xf numFmtId="2" fontId="31" fillId="0" borderId="11" xfId="5" applyNumberFormat="1" applyFont="1" applyFill="1" applyBorder="1" applyAlignment="1" applyProtection="1">
      <alignment horizontal="center"/>
    </xf>
    <xf numFmtId="2" fontId="31" fillId="0" borderId="14" xfId="5" applyNumberFormat="1" applyFont="1" applyFill="1" applyBorder="1" applyAlignment="1" applyProtection="1">
      <alignment horizontal="center"/>
    </xf>
    <xf numFmtId="0" fontId="33" fillId="0" borderId="7" xfId="5" applyFont="1" applyFill="1" applyBorder="1" applyAlignment="1" applyProtection="1">
      <alignment horizontal="left"/>
    </xf>
    <xf numFmtId="0" fontId="33" fillId="0" borderId="14" xfId="5" applyFont="1" applyFill="1" applyBorder="1" applyAlignment="1" applyProtection="1">
      <alignment horizontal="left"/>
    </xf>
    <xf numFmtId="0" fontId="32" fillId="0" borderId="0" xfId="0" applyFont="1" applyAlignment="1">
      <alignment horizontal="center"/>
    </xf>
    <xf numFmtId="0" fontId="32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 wrapText="1"/>
    </xf>
  </cellXfs>
  <cellStyles count="6">
    <cellStyle name="Hyperlink" xfId="1" builtinId="8"/>
    <cellStyle name="Normal 2" xfId="5"/>
    <cellStyle name="เครื่องหมายจุลภาค" xfId="2" builtinId="3"/>
    <cellStyle name="เปอร์เซ็นต์" xfId="4" builtinId="5"/>
    <cellStyle name="ปกติ" xfId="0" builtinId="0"/>
    <cellStyle name="ปกติ 2" xfId="3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SPROOM/&#3588;&#3635;&#3619;&#3633;&#3610;&#3619;&#3629;&#3591;2556/&#3619;&#3634;&#3618;&#3591;&#3634;&#3609;&#3588;&#3635;&#3619;&#3633;&#3610;&#3619;&#3629;&#3591;&#3611;&#3619;&#3632;&#3592;&#3635;&#3648;&#3604;&#3639;&#3629;&#3609;/&#3588;&#3635;&#3609;&#3623;&#3603;&#3588;&#3632;&#3649;&#3609;&#3609;&#3619;&#3634;&#3618;&#3648;&#3604;&#3639;&#3629;&#360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588;&#3635;&#3619;&#3633;&#3610;&#3619;&#3629;&#3591;2556/&#3619;&#3634;&#3618;&#3591;&#3634;&#3609;&#3588;&#3635;&#3619;&#3633;&#3610;&#3619;&#3629;&#3591;&#3611;&#3619;&#3632;&#3592;&#3635;&#3648;&#3604;&#3639;&#3629;&#3609;/&#3588;&#3635;&#3609;&#3623;&#3603;&#3588;&#3632;&#3649;&#3609;&#3609;&#3619;&#3634;&#3618;&#3648;&#3604;&#3639;&#3629;&#360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LSPROOM/&#3588;&#3635;&#3619;&#3633;&#3610;&#3619;&#3629;&#3591;2556/&#3619;&#3634;&#3618;&#3591;&#3634;&#3609;&#3588;&#3635;&#3619;&#3633;&#3610;&#3619;&#3629;&#3591;&#3611;&#3619;&#3632;&#3592;&#3635;&#3648;&#3604;&#3639;&#3629;&#3609;/&#3619;&#3629;&#3610;%2011%20&#3648;&#3604;&#3639;&#3629;&#3609;%20(&#3605;&#3588;55%20-%20&#3626;&#3588;56)/&#3585;&#3626;8/________________%20_________%205-7-5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LSPROOM/&#3588;&#3635;&#3619;&#3633;&#3610;&#3619;&#3629;&#3591;2556/&#3619;&#3634;&#3618;&#3591;&#3634;&#3609;&#3588;&#3635;&#3619;&#3633;&#3610;&#3619;&#3629;&#3591;&#3611;&#3619;&#3632;&#3592;&#3635;&#3648;&#3604;&#3639;&#3629;&#3609;/&#3619;&#3629;&#3610;%2011%20&#3648;&#3604;&#3639;&#3629;&#3609;%20(&#3605;&#3588;55%20-%20&#3626;&#3588;56)/&#3585;&#3626;14/wc%20monthly%20report56%2008075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SPROOM/&#3588;&#3635;&#3619;&#3633;&#3610;&#3619;&#3629;&#3591;2556/&#3619;&#3634;&#3618;&#3591;&#3634;&#3609;&#3588;&#3635;&#3619;&#3633;&#3610;&#3619;&#3629;&#3591;&#3611;&#3619;&#3632;&#3592;&#3635;&#3648;&#3604;&#3639;&#3629;&#3609;/&#3619;&#3629;&#3610;%2011%20&#3648;&#3604;&#3639;&#3629;&#3609;%20(&#3605;&#3588;55%20-%20&#3626;&#3588;56)/&#3612;&#3629;&#3611;.&#3588;&#3597;/&#3588;&#3635;&#3619;&#3633;&#3610;&#3619;&#3629;&#3591;%2010%20&#3648;&#3604;&#3639;&#3629;&#3609;%20&#3612;&#3629;&#3611;.&#3588;&#3597;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SPROOM/&#3588;&#3635;&#3619;&#3633;&#3610;&#3619;&#3629;&#3591;2556/&#3619;&#3634;&#3618;&#3591;&#3634;&#3609;&#3588;&#3635;&#3619;&#3633;&#3610;&#3619;&#3629;&#3591;&#3611;&#3619;&#3632;&#3592;&#3635;&#3648;&#3604;&#3639;&#3629;&#3609;/&#3619;&#3629;&#3610;%2011%20&#3648;&#3604;&#3639;&#3629;&#3609;%20(&#3605;&#3588;55%20-%20&#3626;&#3588;56)/&#3612;&#3629;&#3611;.&#3588;&#3597;/&#3588;&#3635;&#3619;&#3633;&#3610;&#3619;&#3629;&#3591;%2011%20&#3648;&#3604;&#3639;&#3629;&#3609;%20&#3612;&#3629;&#3611;.&#3588;&#3597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6 เดือน"/>
      <sheetName val="7 เดือน"/>
      <sheetName val="8 เดือน"/>
      <sheetName val="9 เดือน"/>
      <sheetName val="10 เดือน"/>
      <sheetName val="11 เดือน"/>
      <sheetName val="12 เดือน"/>
      <sheetName val="Sheet4"/>
    </sheetNames>
    <sheetDataSet>
      <sheetData sheetId="0" refreshError="1">
        <row r="6">
          <cell r="L6">
            <v>1.95</v>
          </cell>
        </row>
        <row r="7">
          <cell r="J7">
            <v>69.561999999999998</v>
          </cell>
        </row>
        <row r="9">
          <cell r="L9">
            <v>1</v>
          </cell>
        </row>
        <row r="17">
          <cell r="L17">
            <v>1</v>
          </cell>
        </row>
        <row r="24">
          <cell r="L24">
            <v>1</v>
          </cell>
        </row>
        <row r="27">
          <cell r="J27">
            <v>23.72</v>
          </cell>
        </row>
        <row r="29">
          <cell r="L29">
            <v>1</v>
          </cell>
        </row>
        <row r="33">
          <cell r="J33">
            <v>25.19</v>
          </cell>
        </row>
        <row r="41">
          <cell r="L41">
            <v>1</v>
          </cell>
        </row>
        <row r="49">
          <cell r="L49">
            <v>1</v>
          </cell>
        </row>
        <row r="56">
          <cell r="J56">
            <v>3061.06</v>
          </cell>
        </row>
        <row r="57">
          <cell r="J57">
            <v>1170.95</v>
          </cell>
        </row>
        <row r="58">
          <cell r="J58">
            <v>38.25308879930482</v>
          </cell>
        </row>
        <row r="60">
          <cell r="L60">
            <v>1</v>
          </cell>
        </row>
        <row r="68">
          <cell r="L68">
            <v>1</v>
          </cell>
        </row>
        <row r="73">
          <cell r="L73">
            <v>1</v>
          </cell>
        </row>
        <row r="79">
          <cell r="L79">
            <v>4.3716577540106956</v>
          </cell>
        </row>
      </sheetData>
      <sheetData sheetId="1" refreshError="1">
        <row r="6">
          <cell r="L6">
            <v>2.3549999999999995</v>
          </cell>
        </row>
        <row r="7">
          <cell r="J7">
            <v>73.55</v>
          </cell>
        </row>
        <row r="79">
          <cell r="L79">
            <v>4.4117647058823541</v>
          </cell>
        </row>
        <row r="86">
          <cell r="L86">
            <v>3.5555555555555554</v>
          </cell>
        </row>
      </sheetData>
      <sheetData sheetId="2" refreshError="1"/>
      <sheetData sheetId="3" refreshError="1">
        <row r="79">
          <cell r="L79">
            <v>4.4518716577540109</v>
          </cell>
        </row>
        <row r="86">
          <cell r="L86">
            <v>4.1000000000000005</v>
          </cell>
        </row>
        <row r="91">
          <cell r="J91">
            <v>95.5</v>
          </cell>
        </row>
      </sheetData>
      <sheetData sheetId="4" refreshError="1">
        <row r="6">
          <cell r="L6">
            <v>2.7450000000000001</v>
          </cell>
        </row>
        <row r="7">
          <cell r="J7">
            <v>77.45</v>
          </cell>
        </row>
        <row r="9">
          <cell r="L9">
            <v>1.7437379576107901</v>
          </cell>
        </row>
        <row r="11">
          <cell r="K11">
            <v>14000</v>
          </cell>
        </row>
        <row r="46">
          <cell r="J46">
            <v>24</v>
          </cell>
        </row>
        <row r="86">
          <cell r="L86">
            <v>4.1454545454545446</v>
          </cell>
        </row>
        <row r="91">
          <cell r="J91">
            <v>95.727272727272734</v>
          </cell>
        </row>
      </sheetData>
      <sheetData sheetId="5" refreshError="1">
        <row r="6">
          <cell r="L6">
            <v>2.9230000000000005</v>
          </cell>
        </row>
        <row r="7">
          <cell r="J7">
            <v>79.23</v>
          </cell>
        </row>
        <row r="9">
          <cell r="L9">
            <v>4.1522157996146438</v>
          </cell>
        </row>
        <row r="11">
          <cell r="K11">
            <v>19000</v>
          </cell>
        </row>
        <row r="45">
          <cell r="J45">
            <v>50</v>
          </cell>
        </row>
        <row r="46">
          <cell r="J46">
            <v>31</v>
          </cell>
        </row>
        <row r="79">
          <cell r="L79">
            <v>4.5053475935828882</v>
          </cell>
        </row>
        <row r="86">
          <cell r="L86">
            <v>4.3</v>
          </cell>
        </row>
        <row r="91">
          <cell r="J91">
            <v>96.5</v>
          </cell>
        </row>
      </sheetData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6 เดือน"/>
      <sheetName val="7 เดือน"/>
      <sheetName val="8 เดือน"/>
      <sheetName val="Sheet4"/>
    </sheetNames>
    <sheetDataSet>
      <sheetData sheetId="0"/>
      <sheetData sheetId="1"/>
      <sheetData sheetId="2">
        <row r="79">
          <cell r="L79">
            <v>4.4251336898395728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สพญ."/>
      <sheetName val="ผวศ.คญ."/>
      <sheetName val="ผอป.คญ."/>
      <sheetName val="ฝบ.คญ."/>
      <sheetName val="กส1"/>
      <sheetName val="กส2"/>
      <sheetName val="กส3"/>
      <sheetName val="กส4"/>
      <sheetName val="กส5"/>
      <sheetName val="กส6"/>
      <sheetName val="กส7"/>
      <sheetName val="กส8"/>
      <sheetName val="กส9"/>
      <sheetName val="กส10"/>
      <sheetName val="กส11"/>
      <sheetName val="กส12"/>
      <sheetName val="กส13"/>
      <sheetName val="กส14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">
          <cell r="L6">
            <v>2.6640000000000001</v>
          </cell>
        </row>
        <row r="7">
          <cell r="J7">
            <v>76.643000000000001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สพญ."/>
      <sheetName val="ผวศ.คญ."/>
      <sheetName val="ผอป.คญ."/>
      <sheetName val="ฝบ.คญ."/>
      <sheetName val="กส1"/>
      <sheetName val="กส2"/>
      <sheetName val="กส3"/>
      <sheetName val="กส4"/>
      <sheetName val="กส5"/>
      <sheetName val="กส6"/>
      <sheetName val="กส7"/>
      <sheetName val="กส8"/>
      <sheetName val="กส9"/>
      <sheetName val="กส10"/>
      <sheetName val="กส11"/>
      <sheetName val="กส12"/>
      <sheetName val="กส13"/>
      <sheetName val="กส14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1">
          <cell r="K11">
            <v>10000</v>
          </cell>
        </row>
      </sheetData>
      <sheetData sheetId="1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ผอป.คญ."/>
    </sheetNames>
    <sheetDataSet>
      <sheetData sheetId="0">
        <row r="27">
          <cell r="J27">
            <v>44.88</v>
          </cell>
        </row>
        <row r="33">
          <cell r="J33">
            <v>60.167000000000002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ผอป.คญ."/>
    </sheetNames>
    <sheetDataSet>
      <sheetData sheetId="0">
        <row r="27">
          <cell r="J27">
            <v>52.54</v>
          </cell>
        </row>
        <row r="33">
          <cell r="J33">
            <v>70.59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6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7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8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3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4"/>
  <sheetViews>
    <sheetView topLeftCell="A79"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/>
  <cols>
    <col min="1" max="1" width="38.7109375" style="119" customWidth="1"/>
    <col min="2" max="2" width="10.140625" style="119" bestFit="1" customWidth="1"/>
    <col min="3" max="3" width="10.140625" style="119" customWidth="1"/>
    <col min="4" max="4" width="10.28515625" style="119" customWidth="1"/>
    <col min="5" max="7" width="10.7109375" style="119" customWidth="1"/>
    <col min="8" max="9" width="9.85546875" style="119" customWidth="1"/>
    <col min="10" max="10" width="13.140625" style="119" customWidth="1"/>
    <col min="11" max="11" width="26.28515625" style="119" customWidth="1"/>
    <col min="12" max="12" width="8.7109375" style="119" customWidth="1"/>
    <col min="13" max="13" width="12.28515625" style="119" customWidth="1"/>
    <col min="14" max="16384" width="9.140625" style="119"/>
  </cols>
  <sheetData>
    <row r="1" spans="1:16" ht="27.75">
      <c r="A1" s="614" t="s">
        <v>0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</row>
    <row r="2" spans="1:16" ht="27.75">
      <c r="A2" s="614" t="s">
        <v>45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</row>
    <row r="3" spans="1:16" ht="26.25" customHeight="1">
      <c r="A3" s="120" t="s">
        <v>131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2" t="s">
        <v>37</v>
      </c>
    </row>
    <row r="4" spans="1:16" s="125" customFormat="1" ht="24.75" customHeight="1">
      <c r="A4" s="123" t="s">
        <v>1</v>
      </c>
      <c r="B4" s="123" t="s">
        <v>2</v>
      </c>
      <c r="C4" s="616" t="s">
        <v>3</v>
      </c>
      <c r="D4" s="616"/>
      <c r="E4" s="616"/>
      <c r="F4" s="616"/>
      <c r="G4" s="616"/>
      <c r="H4" s="617" t="s">
        <v>4</v>
      </c>
      <c r="I4" s="618"/>
      <c r="J4" s="618"/>
      <c r="K4" s="619"/>
      <c r="L4" s="623" t="s">
        <v>5</v>
      </c>
      <c r="M4" s="124" t="s">
        <v>6</v>
      </c>
    </row>
    <row r="5" spans="1:16" s="125" customFormat="1" ht="24.75" customHeight="1">
      <c r="A5" s="126" t="s">
        <v>7</v>
      </c>
      <c r="B5" s="126" t="s">
        <v>8</v>
      </c>
      <c r="C5" s="127">
        <v>1</v>
      </c>
      <c r="D5" s="127">
        <v>2</v>
      </c>
      <c r="E5" s="127">
        <v>3</v>
      </c>
      <c r="F5" s="127">
        <v>4</v>
      </c>
      <c r="G5" s="127">
        <v>5</v>
      </c>
      <c r="H5" s="620"/>
      <c r="I5" s="621"/>
      <c r="J5" s="621"/>
      <c r="K5" s="622"/>
      <c r="L5" s="623"/>
      <c r="M5" s="128" t="s">
        <v>9</v>
      </c>
    </row>
    <row r="6" spans="1:16" ht="23.25" customHeight="1">
      <c r="A6" s="129" t="s">
        <v>10</v>
      </c>
      <c r="B6" s="109">
        <v>10</v>
      </c>
      <c r="C6" s="130">
        <v>0.6</v>
      </c>
      <c r="D6" s="130">
        <v>0.7</v>
      </c>
      <c r="E6" s="130">
        <v>0.8</v>
      </c>
      <c r="F6" s="130">
        <v>0.9</v>
      </c>
      <c r="G6" s="130">
        <v>1</v>
      </c>
      <c r="H6" s="131" t="s">
        <v>128</v>
      </c>
      <c r="I6" s="132"/>
      <c r="J6" s="132"/>
      <c r="K6" s="133"/>
      <c r="L6" s="134">
        <f>'[1]6 เดือน'!$L$6</f>
        <v>1.95</v>
      </c>
      <c r="M6" s="135">
        <f>IF(L6=0,"-",ROUND(L6*B6/B$94,4))</f>
        <v>0.19500000000000001</v>
      </c>
    </row>
    <row r="7" spans="1:16" ht="23.25" customHeight="1">
      <c r="A7" s="136" t="s">
        <v>12</v>
      </c>
      <c r="B7" s="137"/>
      <c r="C7" s="138"/>
      <c r="D7" s="138"/>
      <c r="E7" s="138"/>
      <c r="F7" s="138"/>
      <c r="G7" s="138"/>
      <c r="H7" s="139" t="s">
        <v>40</v>
      </c>
      <c r="I7" s="140"/>
      <c r="J7" s="141">
        <f>'[1]6 เดือน'!$J$7</f>
        <v>69.561999999999998</v>
      </c>
      <c r="K7" s="142" t="s">
        <v>51</v>
      </c>
      <c r="L7" s="143"/>
      <c r="M7" s="143"/>
    </row>
    <row r="8" spans="1:16" ht="23.25" customHeight="1">
      <c r="A8" s="144"/>
      <c r="B8" s="145"/>
      <c r="C8" s="146"/>
      <c r="D8" s="146"/>
      <c r="E8" s="146"/>
      <c r="F8" s="146"/>
      <c r="G8" s="146"/>
      <c r="H8" s="147"/>
      <c r="I8" s="140"/>
      <c r="J8" s="140"/>
      <c r="K8" s="148"/>
      <c r="L8" s="143"/>
      <c r="M8" s="143"/>
    </row>
    <row r="9" spans="1:16" ht="23.25" customHeight="1">
      <c r="A9" s="129" t="s">
        <v>13</v>
      </c>
      <c r="B9" s="109">
        <v>10</v>
      </c>
      <c r="C9" s="149">
        <v>8304</v>
      </c>
      <c r="D9" s="150">
        <v>11418</v>
      </c>
      <c r="E9" s="150">
        <v>14532</v>
      </c>
      <c r="F9" s="150">
        <v>17646</v>
      </c>
      <c r="G9" s="150">
        <v>20760</v>
      </c>
      <c r="H9" s="627" t="s">
        <v>14</v>
      </c>
      <c r="I9" s="628"/>
      <c r="J9" s="629" t="s">
        <v>15</v>
      </c>
      <c r="K9" s="629"/>
      <c r="L9" s="134">
        <f>'[1]6 เดือน'!$L$9</f>
        <v>1</v>
      </c>
      <c r="M9" s="135">
        <f>IF(L9=0,"-",ROUND(L9*B9/B$94,4))</f>
        <v>0.1</v>
      </c>
      <c r="O9" s="151"/>
      <c r="P9" s="152"/>
    </row>
    <row r="10" spans="1:16" ht="23.25" customHeight="1">
      <c r="A10" s="144" t="s">
        <v>16</v>
      </c>
      <c r="B10" s="137"/>
      <c r="C10" s="153" t="s">
        <v>38</v>
      </c>
      <c r="D10" s="153" t="s">
        <v>38</v>
      </c>
      <c r="E10" s="153" t="s">
        <v>39</v>
      </c>
      <c r="F10" s="153" t="s">
        <v>38</v>
      </c>
      <c r="G10" s="153" t="s">
        <v>38</v>
      </c>
      <c r="H10" s="627"/>
      <c r="I10" s="628"/>
      <c r="J10" s="154" t="s">
        <v>17</v>
      </c>
      <c r="K10" s="154" t="s">
        <v>18</v>
      </c>
      <c r="L10" s="143"/>
      <c r="M10" s="143"/>
      <c r="O10" s="151"/>
      <c r="P10" s="155"/>
    </row>
    <row r="11" spans="1:16" ht="23.25" customHeight="1">
      <c r="A11" s="144"/>
      <c r="B11" s="137"/>
      <c r="C11" s="156"/>
      <c r="D11" s="156"/>
      <c r="E11" s="156"/>
      <c r="F11" s="156"/>
      <c r="G11" s="156"/>
      <c r="H11" s="630" t="s">
        <v>19</v>
      </c>
      <c r="I11" s="631"/>
      <c r="J11" s="73">
        <v>19000</v>
      </c>
      <c r="K11" s="64" t="s">
        <v>11</v>
      </c>
      <c r="L11" s="143"/>
      <c r="M11" s="143"/>
    </row>
    <row r="12" spans="1:16" ht="23.25" customHeight="1">
      <c r="A12" s="144"/>
      <c r="B12" s="145"/>
      <c r="C12" s="157"/>
      <c r="D12" s="158"/>
      <c r="E12" s="158"/>
      <c r="F12" s="158"/>
      <c r="G12" s="158"/>
      <c r="H12" s="131" t="s">
        <v>41</v>
      </c>
      <c r="I12" s="159"/>
      <c r="J12" s="74">
        <v>1760</v>
      </c>
      <c r="K12" s="65" t="s">
        <v>11</v>
      </c>
      <c r="L12" s="143"/>
      <c r="M12" s="143"/>
    </row>
    <row r="13" spans="1:16" ht="23.25" customHeight="1">
      <c r="A13" s="144"/>
      <c r="B13" s="145"/>
      <c r="C13" s="158"/>
      <c r="D13" s="158"/>
      <c r="E13" s="158"/>
      <c r="F13" s="158"/>
      <c r="G13" s="158"/>
      <c r="H13" s="624" t="s">
        <v>42</v>
      </c>
      <c r="I13" s="626"/>
      <c r="J13" s="86"/>
      <c r="K13" s="87"/>
      <c r="L13" s="143"/>
      <c r="M13" s="143"/>
    </row>
    <row r="14" spans="1:16" ht="23.25" customHeight="1">
      <c r="A14" s="144"/>
      <c r="B14" s="145"/>
      <c r="C14" s="158"/>
      <c r="D14" s="158"/>
      <c r="E14" s="158"/>
      <c r="F14" s="158"/>
      <c r="G14" s="158"/>
      <c r="H14" s="632" t="s">
        <v>43</v>
      </c>
      <c r="I14" s="633"/>
      <c r="J14" s="88"/>
      <c r="K14" s="89"/>
      <c r="L14" s="143"/>
      <c r="M14" s="143"/>
    </row>
    <row r="15" spans="1:16" ht="23.25" customHeight="1" thickBot="1">
      <c r="A15" s="144"/>
      <c r="B15" s="145"/>
      <c r="C15" s="158"/>
      <c r="D15" s="158"/>
      <c r="E15" s="158"/>
      <c r="F15" s="158"/>
      <c r="G15" s="158"/>
      <c r="H15" s="634" t="s">
        <v>20</v>
      </c>
      <c r="I15" s="634"/>
      <c r="J15" s="90">
        <f>SUM(J11:J12)</f>
        <v>20760</v>
      </c>
      <c r="K15" s="91">
        <f>SUM(K11:K12)</f>
        <v>0</v>
      </c>
      <c r="L15" s="143"/>
      <c r="M15" s="143"/>
    </row>
    <row r="16" spans="1:16" ht="23.25" customHeight="1" thickTop="1">
      <c r="A16" s="144"/>
      <c r="B16" s="145"/>
      <c r="C16" s="158"/>
      <c r="D16" s="158"/>
      <c r="E16" s="158"/>
      <c r="F16" s="158"/>
      <c r="G16" s="158"/>
      <c r="H16" s="137"/>
      <c r="I16" s="160"/>
      <c r="J16" s="93"/>
      <c r="K16" s="94"/>
      <c r="L16" s="143"/>
      <c r="M16" s="143"/>
    </row>
    <row r="17" spans="1:13" ht="23.25" customHeight="1">
      <c r="A17" s="129" t="s">
        <v>52</v>
      </c>
      <c r="B17" s="109">
        <v>5</v>
      </c>
      <c r="C17" s="161">
        <v>0.65</v>
      </c>
      <c r="D17" s="161">
        <v>0.7</v>
      </c>
      <c r="E17" s="161">
        <v>0.75</v>
      </c>
      <c r="F17" s="161">
        <v>0.8</v>
      </c>
      <c r="G17" s="161">
        <v>0.85</v>
      </c>
      <c r="H17" s="635" t="s">
        <v>46</v>
      </c>
      <c r="I17" s="636"/>
      <c r="J17" s="636"/>
      <c r="K17" s="637"/>
      <c r="L17" s="134">
        <f>'[1]6 เดือน'!$L$17</f>
        <v>1</v>
      </c>
      <c r="M17" s="135">
        <f>IF(L17=0,"-",ROUND(L17*B17/B$94,4))</f>
        <v>0.05</v>
      </c>
    </row>
    <row r="18" spans="1:13" ht="23.25" customHeight="1">
      <c r="A18" s="144" t="s">
        <v>44</v>
      </c>
      <c r="B18" s="145"/>
      <c r="C18" s="158"/>
      <c r="D18" s="158"/>
      <c r="E18" s="158"/>
      <c r="F18" s="158"/>
      <c r="G18" s="158"/>
      <c r="H18" s="624" t="s">
        <v>47</v>
      </c>
      <c r="I18" s="625"/>
      <c r="J18" s="625"/>
      <c r="K18" s="626"/>
      <c r="L18" s="143"/>
      <c r="M18" s="143"/>
    </row>
    <row r="19" spans="1:13" ht="23.25" customHeight="1">
      <c r="A19" s="162"/>
      <c r="B19" s="145"/>
      <c r="C19" s="158"/>
      <c r="D19" s="158"/>
      <c r="E19" s="158"/>
      <c r="F19" s="158"/>
      <c r="G19" s="158"/>
      <c r="H19" s="624" t="s">
        <v>48</v>
      </c>
      <c r="I19" s="625"/>
      <c r="J19" s="625"/>
      <c r="K19" s="626"/>
      <c r="L19" s="143"/>
      <c r="M19" s="143"/>
    </row>
    <row r="20" spans="1:13" ht="23.25" customHeight="1">
      <c r="A20" s="162"/>
      <c r="B20" s="145"/>
      <c r="C20" s="158"/>
      <c r="D20" s="158"/>
      <c r="E20" s="158"/>
      <c r="F20" s="158"/>
      <c r="G20" s="158"/>
      <c r="H20" s="624" t="s">
        <v>49</v>
      </c>
      <c r="I20" s="625"/>
      <c r="J20" s="625"/>
      <c r="K20" s="626"/>
      <c r="L20" s="143"/>
      <c r="M20" s="143"/>
    </row>
    <row r="21" spans="1:13" ht="23.25" customHeight="1">
      <c r="A21" s="162"/>
      <c r="B21" s="145"/>
      <c r="C21" s="158"/>
      <c r="D21" s="158"/>
      <c r="E21" s="158"/>
      <c r="F21" s="158"/>
      <c r="G21" s="158"/>
      <c r="H21" s="624" t="s">
        <v>50</v>
      </c>
      <c r="I21" s="625"/>
      <c r="J21" s="625"/>
      <c r="K21" s="626"/>
      <c r="L21" s="143"/>
      <c r="M21" s="143"/>
    </row>
    <row r="22" spans="1:13" ht="23.25" customHeight="1">
      <c r="A22" s="162"/>
      <c r="B22" s="145"/>
      <c r="C22" s="158"/>
      <c r="D22" s="158"/>
      <c r="E22" s="158"/>
      <c r="F22" s="158"/>
      <c r="G22" s="158"/>
      <c r="H22" s="163"/>
      <c r="I22" s="164" t="s">
        <v>54</v>
      </c>
      <c r="J22" s="111" t="e">
        <f>'[1]6 เดือน'!$J$22</f>
        <v>#REF!</v>
      </c>
      <c r="K22" s="165" t="s">
        <v>51</v>
      </c>
      <c r="L22" s="143"/>
      <c r="M22" s="143"/>
    </row>
    <row r="23" spans="1:13" ht="23.25" customHeight="1">
      <c r="A23" s="166"/>
      <c r="B23" s="167"/>
      <c r="C23" s="146"/>
      <c r="D23" s="146"/>
      <c r="E23" s="146"/>
      <c r="F23" s="146"/>
      <c r="G23" s="146"/>
      <c r="H23" s="638"/>
      <c r="I23" s="639"/>
      <c r="J23" s="639"/>
      <c r="K23" s="640"/>
      <c r="L23" s="168"/>
      <c r="M23" s="168"/>
    </row>
    <row r="24" spans="1:13" ht="23.25" customHeight="1">
      <c r="A24" s="129" t="s">
        <v>53</v>
      </c>
      <c r="B24" s="109">
        <v>10</v>
      </c>
      <c r="C24" s="161">
        <v>0.73</v>
      </c>
      <c r="D24" s="161">
        <v>0.76</v>
      </c>
      <c r="E24" s="161">
        <v>0.79</v>
      </c>
      <c r="F24" s="161">
        <v>0.82</v>
      </c>
      <c r="G24" s="161">
        <v>0.85</v>
      </c>
      <c r="H24" s="636" t="s">
        <v>82</v>
      </c>
      <c r="I24" s="636"/>
      <c r="J24" s="636"/>
      <c r="K24" s="637"/>
      <c r="L24" s="134">
        <f>'[1]6 เดือน'!$L$24</f>
        <v>1</v>
      </c>
      <c r="M24" s="135">
        <f>IF(L24=0,"-",ROUND(L24*B24/B$94,4))</f>
        <v>0.1</v>
      </c>
    </row>
    <row r="25" spans="1:13" ht="23.25" customHeight="1">
      <c r="A25" s="144" t="s">
        <v>21</v>
      </c>
      <c r="B25" s="145"/>
      <c r="C25" s="158"/>
      <c r="D25" s="158"/>
      <c r="E25" s="158"/>
      <c r="F25" s="158"/>
      <c r="G25" s="158"/>
      <c r="H25" s="624" t="s">
        <v>83</v>
      </c>
      <c r="I25" s="625"/>
      <c r="J25" s="625"/>
      <c r="K25" s="626"/>
      <c r="L25" s="143"/>
      <c r="M25" s="143"/>
    </row>
    <row r="26" spans="1:13" ht="23.25" customHeight="1">
      <c r="A26" s="169"/>
      <c r="B26" s="145"/>
      <c r="C26" s="158"/>
      <c r="D26" s="158"/>
      <c r="E26" s="158"/>
      <c r="F26" s="158"/>
      <c r="G26" s="158"/>
      <c r="H26" s="624" t="s">
        <v>55</v>
      </c>
      <c r="I26" s="625"/>
      <c r="J26" s="625"/>
      <c r="K26" s="626"/>
      <c r="L26" s="143"/>
      <c r="M26" s="143"/>
    </row>
    <row r="27" spans="1:13" ht="23.25" customHeight="1">
      <c r="A27" s="169"/>
      <c r="B27" s="145"/>
      <c r="C27" s="158"/>
      <c r="D27" s="158"/>
      <c r="E27" s="158"/>
      <c r="F27" s="158"/>
      <c r="G27" s="158"/>
      <c r="H27" s="170"/>
      <c r="I27" s="171" t="s">
        <v>56</v>
      </c>
      <c r="J27" s="111">
        <f>'[1]6 เดือน'!$J$27</f>
        <v>23.72</v>
      </c>
      <c r="K27" s="165" t="s">
        <v>51</v>
      </c>
      <c r="L27" s="143"/>
      <c r="M27" s="143"/>
    </row>
    <row r="28" spans="1:13" ht="23.25" customHeight="1">
      <c r="A28" s="172"/>
      <c r="B28" s="167"/>
      <c r="C28" s="146"/>
      <c r="D28" s="146"/>
      <c r="E28" s="146"/>
      <c r="F28" s="146"/>
      <c r="G28" s="146"/>
      <c r="H28" s="173"/>
      <c r="I28" s="174"/>
      <c r="J28" s="174"/>
      <c r="K28" s="175"/>
      <c r="L28" s="168"/>
      <c r="M28" s="168"/>
    </row>
    <row r="29" spans="1:13" ht="24.75" customHeight="1">
      <c r="A29" s="129" t="s">
        <v>22</v>
      </c>
      <c r="B29" s="109">
        <v>5</v>
      </c>
      <c r="C29" s="176">
        <v>0.92</v>
      </c>
      <c r="D29" s="176">
        <v>0.94</v>
      </c>
      <c r="E29" s="176">
        <v>0.96</v>
      </c>
      <c r="F29" s="176">
        <v>0.98</v>
      </c>
      <c r="G29" s="176">
        <v>1</v>
      </c>
      <c r="H29" s="635" t="s">
        <v>57</v>
      </c>
      <c r="I29" s="636"/>
      <c r="J29" s="636"/>
      <c r="K29" s="637"/>
      <c r="L29" s="134">
        <f>'[1]6 เดือน'!$L$29</f>
        <v>1</v>
      </c>
      <c r="M29" s="135">
        <f>IF(L29=0,"-",ROUND(L29*B29/B$94,4))</f>
        <v>0.05</v>
      </c>
    </row>
    <row r="30" spans="1:13" ht="24.75" customHeight="1">
      <c r="A30" s="144" t="s">
        <v>23</v>
      </c>
      <c r="B30" s="145"/>
      <c r="C30" s="158"/>
      <c r="D30" s="158"/>
      <c r="E30" s="158"/>
      <c r="F30" s="158"/>
      <c r="G30" s="158"/>
      <c r="H30" s="624" t="s">
        <v>58</v>
      </c>
      <c r="I30" s="625"/>
      <c r="J30" s="625"/>
      <c r="K30" s="626"/>
      <c r="L30" s="143"/>
      <c r="M30" s="143"/>
    </row>
    <row r="31" spans="1:13" ht="24.75" customHeight="1">
      <c r="A31" s="144" t="s">
        <v>24</v>
      </c>
      <c r="B31" s="145"/>
      <c r="C31" s="158"/>
      <c r="D31" s="158"/>
      <c r="E31" s="158"/>
      <c r="F31" s="158"/>
      <c r="G31" s="158"/>
      <c r="H31" s="624" t="s">
        <v>77</v>
      </c>
      <c r="I31" s="625"/>
      <c r="J31" s="625"/>
      <c r="K31" s="626"/>
      <c r="L31" s="143"/>
      <c r="M31" s="143"/>
    </row>
    <row r="32" spans="1:13" ht="24.75" customHeight="1">
      <c r="A32" s="169"/>
      <c r="B32" s="145"/>
      <c r="C32" s="158"/>
      <c r="D32" s="158"/>
      <c r="E32" s="158"/>
      <c r="F32" s="158"/>
      <c r="G32" s="158"/>
      <c r="H32" s="624" t="s">
        <v>59</v>
      </c>
      <c r="I32" s="625"/>
      <c r="J32" s="625"/>
      <c r="K32" s="626"/>
      <c r="L32" s="143"/>
      <c r="M32" s="143"/>
    </row>
    <row r="33" spans="1:13" ht="24.75" customHeight="1">
      <c r="A33" s="169"/>
      <c r="B33" s="145"/>
      <c r="C33" s="158"/>
      <c r="D33" s="158"/>
      <c r="E33" s="158"/>
      <c r="F33" s="158"/>
      <c r="G33" s="158"/>
      <c r="H33" s="177"/>
      <c r="I33" s="171" t="s">
        <v>56</v>
      </c>
      <c r="J33" s="111">
        <f>'[1]6 เดือน'!$J$33</f>
        <v>25.19</v>
      </c>
      <c r="K33" s="165" t="s">
        <v>51</v>
      </c>
      <c r="L33" s="143"/>
      <c r="M33" s="143"/>
    </row>
    <row r="34" spans="1:13" ht="24.75" customHeight="1">
      <c r="A34" s="169"/>
      <c r="B34" s="145"/>
      <c r="C34" s="158"/>
      <c r="D34" s="158"/>
      <c r="E34" s="158"/>
      <c r="F34" s="158"/>
      <c r="G34" s="158"/>
      <c r="H34" s="178"/>
      <c r="I34" s="140"/>
      <c r="J34" s="140"/>
      <c r="K34" s="148"/>
      <c r="L34" s="143"/>
      <c r="M34" s="143"/>
    </row>
    <row r="35" spans="1:13" ht="24.75" customHeight="1">
      <c r="A35" s="129" t="s">
        <v>25</v>
      </c>
      <c r="B35" s="109">
        <v>10</v>
      </c>
      <c r="C35" s="176">
        <v>0.96</v>
      </c>
      <c r="D35" s="176">
        <v>0.97</v>
      </c>
      <c r="E35" s="176">
        <v>0.98</v>
      </c>
      <c r="F35" s="176">
        <v>0.99</v>
      </c>
      <c r="G35" s="176">
        <v>1</v>
      </c>
      <c r="H35" s="635" t="s">
        <v>73</v>
      </c>
      <c r="I35" s="636"/>
      <c r="J35" s="636"/>
      <c r="K35" s="637"/>
      <c r="L35" s="134">
        <v>1</v>
      </c>
      <c r="M35" s="135">
        <f>IF(L35=0,"-",ROUND(L35*B35/B$94,4))</f>
        <v>0.1</v>
      </c>
    </row>
    <row r="36" spans="1:13" ht="24.75" customHeight="1">
      <c r="A36" s="144" t="s">
        <v>26</v>
      </c>
      <c r="B36" s="145"/>
      <c r="C36" s="158"/>
      <c r="D36" s="158"/>
      <c r="E36" s="158"/>
      <c r="F36" s="158"/>
      <c r="G36" s="158"/>
      <c r="H36" s="641" t="s">
        <v>74</v>
      </c>
      <c r="I36" s="642"/>
      <c r="J36" s="642"/>
      <c r="K36" s="643"/>
      <c r="L36" s="143"/>
      <c r="M36" s="143"/>
    </row>
    <row r="37" spans="1:13" ht="24.75" customHeight="1">
      <c r="A37" s="169"/>
      <c r="B37" s="145"/>
      <c r="C37" s="158"/>
      <c r="D37" s="158"/>
      <c r="E37" s="158"/>
      <c r="F37" s="158"/>
      <c r="G37" s="158"/>
      <c r="H37" s="641" t="s">
        <v>75</v>
      </c>
      <c r="I37" s="642"/>
      <c r="J37" s="642"/>
      <c r="K37" s="643"/>
      <c r="L37" s="143"/>
      <c r="M37" s="143"/>
    </row>
    <row r="38" spans="1:13" ht="24.75" customHeight="1">
      <c r="A38" s="169"/>
      <c r="B38" s="145"/>
      <c r="C38" s="158"/>
      <c r="D38" s="158"/>
      <c r="E38" s="158"/>
      <c r="F38" s="158"/>
      <c r="G38" s="158"/>
      <c r="H38" s="641" t="s">
        <v>76</v>
      </c>
      <c r="I38" s="644"/>
      <c r="J38" s="644"/>
      <c r="K38" s="645"/>
      <c r="L38" s="143"/>
      <c r="M38" s="143"/>
    </row>
    <row r="39" spans="1:13" ht="24.75" customHeight="1">
      <c r="A39" s="169"/>
      <c r="B39" s="145"/>
      <c r="C39" s="158"/>
      <c r="D39" s="158"/>
      <c r="E39" s="158"/>
      <c r="F39" s="158"/>
      <c r="G39" s="158"/>
      <c r="H39" s="177"/>
      <c r="I39" s="171" t="s">
        <v>56</v>
      </c>
      <c r="J39" s="111">
        <v>0</v>
      </c>
      <c r="K39" s="165" t="s">
        <v>51</v>
      </c>
      <c r="L39" s="143"/>
      <c r="M39" s="143"/>
    </row>
    <row r="40" spans="1:13" ht="24.75" customHeight="1">
      <c r="A40" s="172"/>
      <c r="B40" s="167"/>
      <c r="C40" s="146"/>
      <c r="D40" s="146"/>
      <c r="E40" s="146"/>
      <c r="F40" s="146"/>
      <c r="G40" s="146"/>
      <c r="H40" s="173"/>
      <c r="I40" s="179"/>
      <c r="J40" s="179"/>
      <c r="K40" s="180"/>
      <c r="L40" s="168"/>
      <c r="M40" s="168"/>
    </row>
    <row r="41" spans="1:13" ht="24.75" customHeight="1">
      <c r="A41" s="129" t="s">
        <v>27</v>
      </c>
      <c r="B41" s="109">
        <v>10</v>
      </c>
      <c r="C41" s="181">
        <v>0.96</v>
      </c>
      <c r="D41" s="181">
        <v>0.97</v>
      </c>
      <c r="E41" s="181">
        <v>0.98</v>
      </c>
      <c r="F41" s="181">
        <v>0.99</v>
      </c>
      <c r="G41" s="181">
        <v>1</v>
      </c>
      <c r="H41" s="635" t="s">
        <v>62</v>
      </c>
      <c r="I41" s="636"/>
      <c r="J41" s="636"/>
      <c r="K41" s="637"/>
      <c r="L41" s="134">
        <f>'[1]6 เดือน'!$L$41</f>
        <v>1</v>
      </c>
      <c r="M41" s="135">
        <f>IF(L41=0,"-",ROUND(L41*B41/B$94,4))</f>
        <v>0.1</v>
      </c>
    </row>
    <row r="42" spans="1:13" ht="24.75" customHeight="1">
      <c r="A42" s="144" t="s">
        <v>28</v>
      </c>
      <c r="B42" s="145"/>
      <c r="C42" s="182"/>
      <c r="D42" s="182"/>
      <c r="E42" s="182"/>
      <c r="F42" s="182"/>
      <c r="G42" s="182"/>
      <c r="H42" s="624" t="s">
        <v>63</v>
      </c>
      <c r="I42" s="625"/>
      <c r="J42" s="625"/>
      <c r="K42" s="626"/>
      <c r="L42" s="143"/>
      <c r="M42" s="143"/>
    </row>
    <row r="43" spans="1:13" ht="24.75" customHeight="1">
      <c r="A43" s="144" t="s">
        <v>60</v>
      </c>
      <c r="B43" s="145"/>
      <c r="C43" s="182"/>
      <c r="D43" s="182"/>
      <c r="E43" s="182"/>
      <c r="F43" s="182"/>
      <c r="G43" s="182"/>
      <c r="H43" s="624" t="s">
        <v>64</v>
      </c>
      <c r="I43" s="625"/>
      <c r="J43" s="625"/>
      <c r="K43" s="626"/>
      <c r="L43" s="143"/>
      <c r="M43" s="143"/>
    </row>
    <row r="44" spans="1:13" ht="24.75" customHeight="1">
      <c r="A44" s="144"/>
      <c r="B44" s="145"/>
      <c r="C44" s="182"/>
      <c r="D44" s="182"/>
      <c r="E44" s="182"/>
      <c r="F44" s="182"/>
      <c r="G44" s="182"/>
      <c r="H44" s="170" t="s">
        <v>65</v>
      </c>
      <c r="I44" s="164"/>
      <c r="J44" s="160"/>
      <c r="K44" s="183"/>
      <c r="L44" s="143"/>
      <c r="M44" s="143"/>
    </row>
    <row r="45" spans="1:13" ht="24.75" customHeight="1">
      <c r="A45" s="144"/>
      <c r="B45" s="145"/>
      <c r="C45" s="182"/>
      <c r="D45" s="182"/>
      <c r="E45" s="182"/>
      <c r="F45" s="182"/>
      <c r="G45" s="182"/>
      <c r="H45" s="170"/>
      <c r="I45" s="164" t="s">
        <v>66</v>
      </c>
      <c r="J45" s="111">
        <v>0</v>
      </c>
      <c r="K45" s="183" t="s">
        <v>61</v>
      </c>
      <c r="L45" s="143"/>
      <c r="M45" s="143"/>
    </row>
    <row r="46" spans="1:13" ht="24.75" customHeight="1">
      <c r="A46" s="144"/>
      <c r="B46" s="145"/>
      <c r="C46" s="182"/>
      <c r="D46" s="182"/>
      <c r="E46" s="182"/>
      <c r="F46" s="182"/>
      <c r="G46" s="182"/>
      <c r="H46" s="170"/>
      <c r="I46" s="164" t="s">
        <v>67</v>
      </c>
      <c r="J46" s="111">
        <v>0</v>
      </c>
      <c r="K46" s="183" t="s">
        <v>61</v>
      </c>
      <c r="L46" s="143"/>
      <c r="M46" s="143"/>
    </row>
    <row r="47" spans="1:13" ht="24.75" customHeight="1">
      <c r="A47" s="144"/>
      <c r="B47" s="145"/>
      <c r="C47" s="182"/>
      <c r="D47" s="182"/>
      <c r="E47" s="182"/>
      <c r="F47" s="182"/>
      <c r="G47" s="182"/>
      <c r="H47" s="177"/>
      <c r="I47" s="171" t="s">
        <v>81</v>
      </c>
      <c r="J47" s="111">
        <v>0</v>
      </c>
      <c r="K47" s="165" t="s">
        <v>51</v>
      </c>
      <c r="L47" s="143"/>
      <c r="M47" s="143"/>
    </row>
    <row r="48" spans="1:13" ht="25.5">
      <c r="A48" s="144"/>
      <c r="B48" s="145"/>
      <c r="C48" s="182"/>
      <c r="D48" s="182"/>
      <c r="E48" s="182"/>
      <c r="F48" s="182"/>
      <c r="G48" s="182"/>
      <c r="H48" s="646"/>
      <c r="I48" s="639"/>
      <c r="J48" s="639"/>
      <c r="K48" s="640"/>
      <c r="L48" s="143"/>
      <c r="M48" s="143"/>
    </row>
    <row r="49" spans="1:13" ht="24.75" customHeight="1">
      <c r="A49" s="129" t="s">
        <v>68</v>
      </c>
      <c r="B49" s="109">
        <v>5</v>
      </c>
      <c r="C49" s="176">
        <v>0.5</v>
      </c>
      <c r="D49" s="176">
        <v>0.75</v>
      </c>
      <c r="E49" s="176">
        <v>1</v>
      </c>
      <c r="F49" s="176">
        <v>1</v>
      </c>
      <c r="G49" s="176">
        <v>1</v>
      </c>
      <c r="H49" s="635" t="s">
        <v>78</v>
      </c>
      <c r="I49" s="636"/>
      <c r="J49" s="636"/>
      <c r="K49" s="637"/>
      <c r="L49" s="134">
        <f>'[1]6 เดือน'!$L$49</f>
        <v>1</v>
      </c>
      <c r="M49" s="135">
        <f>IF(L49=0,"-",ROUND(L49*B49/B$94,4))</f>
        <v>0.05</v>
      </c>
    </row>
    <row r="50" spans="1:13" ht="24.75" customHeight="1">
      <c r="A50" s="144" t="s">
        <v>69</v>
      </c>
      <c r="B50" s="137"/>
      <c r="C50" s="184"/>
      <c r="D50" s="184"/>
      <c r="E50" s="184"/>
      <c r="F50" s="184" t="s">
        <v>70</v>
      </c>
      <c r="G50" s="184" t="s">
        <v>70</v>
      </c>
      <c r="H50" s="625" t="s">
        <v>79</v>
      </c>
      <c r="I50" s="625"/>
      <c r="J50" s="625"/>
      <c r="K50" s="626"/>
      <c r="L50" s="143"/>
      <c r="M50" s="143"/>
    </row>
    <row r="51" spans="1:13" ht="24.75" customHeight="1">
      <c r="A51" s="144"/>
      <c r="B51" s="137"/>
      <c r="C51" s="184"/>
      <c r="D51" s="184"/>
      <c r="E51" s="184"/>
      <c r="F51" s="184" t="s">
        <v>71</v>
      </c>
      <c r="G51" s="184" t="s">
        <v>72</v>
      </c>
      <c r="H51" s="625" t="s">
        <v>80</v>
      </c>
      <c r="I51" s="625"/>
      <c r="J51" s="625"/>
      <c r="K51" s="626"/>
      <c r="L51" s="143"/>
      <c r="M51" s="143"/>
    </row>
    <row r="52" spans="1:13" ht="24.75" customHeight="1">
      <c r="A52" s="144"/>
      <c r="B52" s="137"/>
      <c r="C52" s="185"/>
      <c r="D52" s="185"/>
      <c r="E52" s="185"/>
      <c r="F52" s="185"/>
      <c r="G52" s="185"/>
      <c r="H52" s="177"/>
      <c r="I52" s="171" t="s">
        <v>56</v>
      </c>
      <c r="J52" s="111">
        <v>0</v>
      </c>
      <c r="K52" s="165" t="s">
        <v>51</v>
      </c>
      <c r="L52" s="143"/>
      <c r="M52" s="143"/>
    </row>
    <row r="53" spans="1:13" ht="25.5">
      <c r="A53" s="186"/>
      <c r="B53" s="167"/>
      <c r="C53" s="146"/>
      <c r="D53" s="146"/>
      <c r="E53" s="146"/>
      <c r="F53" s="146"/>
      <c r="G53" s="146"/>
      <c r="H53" s="646"/>
      <c r="I53" s="647"/>
      <c r="J53" s="647"/>
      <c r="K53" s="648"/>
      <c r="L53" s="168"/>
      <c r="M53" s="168"/>
    </row>
    <row r="54" spans="1:13" ht="24.75" customHeight="1">
      <c r="A54" s="129" t="s">
        <v>84</v>
      </c>
      <c r="B54" s="109">
        <v>10</v>
      </c>
      <c r="C54" s="176">
        <v>0.78</v>
      </c>
      <c r="D54" s="176">
        <v>0.81</v>
      </c>
      <c r="E54" s="176">
        <v>0.84</v>
      </c>
      <c r="F54" s="176">
        <v>0.87</v>
      </c>
      <c r="G54" s="176">
        <v>0.9</v>
      </c>
      <c r="H54" s="635" t="s">
        <v>99</v>
      </c>
      <c r="I54" s="636"/>
      <c r="J54" s="636"/>
      <c r="K54" s="637"/>
      <c r="L54" s="134">
        <v>1</v>
      </c>
      <c r="M54" s="135">
        <f>IF(L54=0,"-",ROUND(L54*B54/B$94,4))</f>
        <v>0.1</v>
      </c>
    </row>
    <row r="55" spans="1:13" ht="24.75" customHeight="1">
      <c r="A55" s="144" t="s">
        <v>85</v>
      </c>
      <c r="B55" s="145"/>
      <c r="C55" s="182"/>
      <c r="D55" s="182"/>
      <c r="E55" s="182"/>
      <c r="F55" s="182"/>
      <c r="G55" s="182"/>
      <c r="H55" s="624" t="s">
        <v>100</v>
      </c>
      <c r="I55" s="625"/>
      <c r="J55" s="625"/>
      <c r="K55" s="626"/>
      <c r="L55" s="143"/>
      <c r="M55" s="143"/>
    </row>
    <row r="56" spans="1:13" ht="24.75" customHeight="1">
      <c r="A56" s="169"/>
      <c r="B56" s="145"/>
      <c r="C56" s="182"/>
      <c r="D56" s="182"/>
      <c r="E56" s="182"/>
      <c r="F56" s="182"/>
      <c r="G56" s="182"/>
      <c r="H56" s="171"/>
      <c r="I56" s="171" t="s">
        <v>87</v>
      </c>
      <c r="J56" s="111">
        <f>'[1]6 เดือน'!$J$56</f>
        <v>3061.06</v>
      </c>
      <c r="K56" s="165" t="s">
        <v>34</v>
      </c>
      <c r="L56" s="143"/>
      <c r="M56" s="143"/>
    </row>
    <row r="57" spans="1:13" ht="24.75" customHeight="1">
      <c r="A57" s="169"/>
      <c r="B57" s="145"/>
      <c r="C57" s="182"/>
      <c r="D57" s="182"/>
      <c r="E57" s="182"/>
      <c r="F57" s="182"/>
      <c r="G57" s="182"/>
      <c r="H57" s="171"/>
      <c r="I57" s="171" t="s">
        <v>86</v>
      </c>
      <c r="J57" s="111">
        <f>'[1]6 เดือน'!$J$57</f>
        <v>1170.95</v>
      </c>
      <c r="K57" s="165" t="s">
        <v>34</v>
      </c>
      <c r="L57" s="143"/>
      <c r="M57" s="143"/>
    </row>
    <row r="58" spans="1:13" ht="24.75" customHeight="1">
      <c r="A58" s="169"/>
      <c r="B58" s="145"/>
      <c r="C58" s="182"/>
      <c r="D58" s="182"/>
      <c r="E58" s="182"/>
      <c r="F58" s="182"/>
      <c r="G58" s="182"/>
      <c r="H58" s="171"/>
      <c r="I58" s="171" t="s">
        <v>88</v>
      </c>
      <c r="J58" s="111">
        <f>'[1]6 เดือน'!$J$58</f>
        <v>38.25308879930482</v>
      </c>
      <c r="K58" s="165" t="s">
        <v>51</v>
      </c>
      <c r="L58" s="143"/>
      <c r="M58" s="143"/>
    </row>
    <row r="59" spans="1:13" ht="27.75" customHeight="1">
      <c r="A59" s="172"/>
      <c r="B59" s="167"/>
      <c r="C59" s="187"/>
      <c r="D59" s="187"/>
      <c r="E59" s="187"/>
      <c r="F59" s="187"/>
      <c r="G59" s="187"/>
      <c r="H59" s="188"/>
      <c r="I59" s="179"/>
      <c r="J59" s="189"/>
      <c r="K59" s="180"/>
      <c r="L59" s="168"/>
      <c r="M59" s="168"/>
    </row>
    <row r="60" spans="1:13" ht="24.75" customHeight="1">
      <c r="A60" s="129" t="s">
        <v>89</v>
      </c>
      <c r="B60" s="109">
        <v>5</v>
      </c>
      <c r="C60" s="176">
        <v>0.6</v>
      </c>
      <c r="D60" s="176">
        <v>0.65</v>
      </c>
      <c r="E60" s="176">
        <v>0.7</v>
      </c>
      <c r="F60" s="176">
        <v>0.75</v>
      </c>
      <c r="G60" s="176">
        <v>0.8</v>
      </c>
      <c r="H60" s="635" t="s">
        <v>92</v>
      </c>
      <c r="I60" s="636"/>
      <c r="J60" s="636"/>
      <c r="K60" s="637"/>
      <c r="L60" s="134">
        <f>'[1]6 เดือน'!$L$60</f>
        <v>1</v>
      </c>
      <c r="M60" s="135">
        <f>IF(L60=0,"-",ROUND(L60*B60/B$94,4))</f>
        <v>0.05</v>
      </c>
    </row>
    <row r="61" spans="1:13" ht="24.75" customHeight="1">
      <c r="A61" s="144" t="s">
        <v>90</v>
      </c>
      <c r="B61" s="137"/>
      <c r="C61" s="190"/>
      <c r="D61" s="190"/>
      <c r="E61" s="190"/>
      <c r="F61" s="190"/>
      <c r="G61" s="190"/>
      <c r="H61" s="624" t="s">
        <v>93</v>
      </c>
      <c r="I61" s="625"/>
      <c r="J61" s="625"/>
      <c r="K61" s="626"/>
      <c r="L61" s="143"/>
      <c r="M61" s="143"/>
    </row>
    <row r="62" spans="1:13" ht="24.75" customHeight="1">
      <c r="A62" s="144" t="s">
        <v>91</v>
      </c>
      <c r="B62" s="145"/>
      <c r="C62" s="158"/>
      <c r="D62" s="158"/>
      <c r="E62" s="158"/>
      <c r="F62" s="158"/>
      <c r="G62" s="158"/>
      <c r="H62" s="624" t="s">
        <v>94</v>
      </c>
      <c r="I62" s="625"/>
      <c r="J62" s="625"/>
      <c r="K62" s="626"/>
      <c r="L62" s="143"/>
      <c r="M62" s="143"/>
    </row>
    <row r="63" spans="1:13" ht="24.75" customHeight="1">
      <c r="A63" s="144"/>
      <c r="B63" s="145"/>
      <c r="C63" s="158"/>
      <c r="D63" s="158"/>
      <c r="E63" s="158"/>
      <c r="F63" s="158"/>
      <c r="G63" s="158"/>
      <c r="H63" s="177" t="s">
        <v>95</v>
      </c>
      <c r="I63" s="139"/>
      <c r="J63" s="139"/>
      <c r="K63" s="165"/>
      <c r="L63" s="143"/>
      <c r="M63" s="143"/>
    </row>
    <row r="64" spans="1:13" ht="24.75" customHeight="1">
      <c r="A64" s="144"/>
      <c r="B64" s="145"/>
      <c r="C64" s="158"/>
      <c r="D64" s="158"/>
      <c r="E64" s="158"/>
      <c r="F64" s="158"/>
      <c r="G64" s="158"/>
      <c r="H64" s="170"/>
      <c r="I64" s="164" t="s">
        <v>97</v>
      </c>
      <c r="J64" s="111">
        <v>0</v>
      </c>
      <c r="K64" s="183" t="s">
        <v>96</v>
      </c>
      <c r="L64" s="143"/>
      <c r="M64" s="143"/>
    </row>
    <row r="65" spans="1:32" ht="24.75" customHeight="1">
      <c r="A65" s="169"/>
      <c r="B65" s="145"/>
      <c r="C65" s="158"/>
      <c r="D65" s="158"/>
      <c r="E65" s="158"/>
      <c r="F65" s="158"/>
      <c r="G65" s="158"/>
      <c r="H65" s="170"/>
      <c r="I65" s="164" t="s">
        <v>98</v>
      </c>
      <c r="J65" s="111">
        <v>0</v>
      </c>
      <c r="K65" s="183" t="s">
        <v>96</v>
      </c>
      <c r="L65" s="143"/>
      <c r="M65" s="143"/>
    </row>
    <row r="66" spans="1:32" ht="24.75" customHeight="1">
      <c r="A66" s="169"/>
      <c r="B66" s="145"/>
      <c r="C66" s="158"/>
      <c r="D66" s="158"/>
      <c r="E66" s="158"/>
      <c r="F66" s="158"/>
      <c r="G66" s="158"/>
      <c r="H66" s="177"/>
      <c r="I66" s="164" t="s">
        <v>35</v>
      </c>
      <c r="J66" s="111">
        <v>0</v>
      </c>
      <c r="K66" s="165" t="s">
        <v>51</v>
      </c>
      <c r="L66" s="143"/>
      <c r="M66" s="143"/>
    </row>
    <row r="67" spans="1:32" ht="24.75" customHeight="1">
      <c r="A67" s="169"/>
      <c r="B67" s="145"/>
      <c r="C67" s="158"/>
      <c r="D67" s="158"/>
      <c r="E67" s="158"/>
      <c r="F67" s="158"/>
      <c r="G67" s="158"/>
      <c r="H67" s="171"/>
      <c r="I67" s="191"/>
      <c r="J67" s="191"/>
      <c r="K67" s="192"/>
      <c r="L67" s="143"/>
      <c r="M67" s="143"/>
    </row>
    <row r="68" spans="1:32" ht="24.75" customHeight="1">
      <c r="A68" s="129" t="s">
        <v>101</v>
      </c>
      <c r="B68" s="110">
        <v>5</v>
      </c>
      <c r="C68" s="193">
        <v>0.65</v>
      </c>
      <c r="D68" s="193">
        <v>0.7</v>
      </c>
      <c r="E68" s="193">
        <v>0.75</v>
      </c>
      <c r="F68" s="193">
        <v>0.8</v>
      </c>
      <c r="G68" s="193">
        <v>0.85</v>
      </c>
      <c r="H68" s="635" t="s">
        <v>103</v>
      </c>
      <c r="I68" s="636"/>
      <c r="J68" s="636"/>
      <c r="K68" s="637"/>
      <c r="L68" s="134">
        <f>'[1]6 เดือน'!$L$68</f>
        <v>1</v>
      </c>
      <c r="M68" s="135">
        <f>IF(L68=0,"-",ROUND(L68*B68/B$94,4))</f>
        <v>0.05</v>
      </c>
    </row>
    <row r="69" spans="1:32" ht="24.75" customHeight="1">
      <c r="A69" s="144" t="s">
        <v>102</v>
      </c>
      <c r="B69" s="145"/>
      <c r="C69" s="182"/>
      <c r="D69" s="182"/>
      <c r="E69" s="182"/>
      <c r="F69" s="182"/>
      <c r="G69" s="182"/>
      <c r="H69" s="624" t="s">
        <v>104</v>
      </c>
      <c r="I69" s="625"/>
      <c r="J69" s="625"/>
      <c r="K69" s="626"/>
      <c r="L69" s="143"/>
      <c r="M69" s="143"/>
    </row>
    <row r="70" spans="1:32" ht="24.75" customHeight="1">
      <c r="A70" s="144"/>
      <c r="B70" s="145"/>
      <c r="C70" s="182"/>
      <c r="D70" s="182"/>
      <c r="E70" s="182"/>
      <c r="F70" s="182"/>
      <c r="G70" s="182"/>
      <c r="H70" s="624" t="s">
        <v>105</v>
      </c>
      <c r="I70" s="625"/>
      <c r="J70" s="625"/>
      <c r="K70" s="626"/>
      <c r="L70" s="143"/>
      <c r="M70" s="143"/>
    </row>
    <row r="71" spans="1:32" ht="24.75" customHeight="1">
      <c r="A71" s="144"/>
      <c r="B71" s="145"/>
      <c r="C71" s="182"/>
      <c r="D71" s="182"/>
      <c r="E71" s="182"/>
      <c r="F71" s="182"/>
      <c r="G71" s="182"/>
      <c r="H71" s="194"/>
      <c r="I71" s="195" t="s">
        <v>113</v>
      </c>
      <c r="J71" s="111">
        <v>0</v>
      </c>
      <c r="K71" s="165" t="s">
        <v>51</v>
      </c>
      <c r="L71" s="143"/>
      <c r="M71" s="143"/>
    </row>
    <row r="72" spans="1:32" ht="24.75" customHeight="1">
      <c r="A72" s="144"/>
      <c r="B72" s="145"/>
      <c r="C72" s="182"/>
      <c r="D72" s="182"/>
      <c r="E72" s="182"/>
      <c r="F72" s="182"/>
      <c r="G72" s="196"/>
      <c r="H72" s="197"/>
      <c r="I72" s="197"/>
      <c r="J72" s="197"/>
      <c r="K72" s="197"/>
      <c r="L72" s="143"/>
      <c r="M72" s="143"/>
    </row>
    <row r="73" spans="1:32" ht="24.75" customHeight="1">
      <c r="A73" s="129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635" t="s">
        <v>108</v>
      </c>
      <c r="I73" s="636"/>
      <c r="J73" s="636"/>
      <c r="K73" s="637"/>
      <c r="L73" s="134">
        <f>'[1]6 เดือน'!$L$73</f>
        <v>1</v>
      </c>
      <c r="M73" s="135">
        <f>IF(L73=0,"-",ROUND(L73*B73/B$94,4))</f>
        <v>0.05</v>
      </c>
      <c r="P73" s="1"/>
    </row>
    <row r="74" spans="1:32" ht="24.75" customHeight="1">
      <c r="A74" s="144" t="s">
        <v>107</v>
      </c>
      <c r="B74" s="14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624" t="s">
        <v>109</v>
      </c>
      <c r="I74" s="625"/>
      <c r="J74" s="625"/>
      <c r="K74" s="626"/>
      <c r="L74" s="143"/>
      <c r="M74" s="143"/>
    </row>
    <row r="75" spans="1:32" ht="24.75" customHeight="1">
      <c r="A75" s="144"/>
      <c r="B75" s="145"/>
      <c r="C75" s="196"/>
      <c r="D75" s="196"/>
      <c r="E75" s="196"/>
      <c r="F75" s="196"/>
      <c r="G75" s="196"/>
      <c r="H75" s="624" t="s">
        <v>110</v>
      </c>
      <c r="I75" s="625"/>
      <c r="J75" s="625"/>
      <c r="K75" s="626"/>
      <c r="L75" s="143"/>
      <c r="M75" s="143"/>
      <c r="P75" s="198"/>
      <c r="Q75" s="198"/>
    </row>
    <row r="76" spans="1:32" ht="24.75" customHeight="1">
      <c r="A76" s="144"/>
      <c r="B76" s="145"/>
      <c r="C76" s="196"/>
      <c r="D76" s="196"/>
      <c r="E76" s="196"/>
      <c r="F76" s="196"/>
      <c r="G76" s="196"/>
      <c r="H76" s="624" t="s">
        <v>111</v>
      </c>
      <c r="I76" s="625"/>
      <c r="J76" s="625"/>
      <c r="K76" s="626"/>
      <c r="L76" s="143"/>
      <c r="M76" s="143"/>
      <c r="P76" s="198"/>
      <c r="Q76" s="198"/>
    </row>
    <row r="77" spans="1:32" ht="24.75" customHeight="1">
      <c r="A77" s="144"/>
      <c r="B77" s="145"/>
      <c r="C77" s="196"/>
      <c r="D77" s="196"/>
      <c r="E77" s="196"/>
      <c r="F77" s="196"/>
      <c r="G77" s="196"/>
      <c r="H77" s="177"/>
      <c r="I77" s="164" t="s">
        <v>112</v>
      </c>
      <c r="J77" s="111">
        <v>0</v>
      </c>
      <c r="K77" s="183"/>
      <c r="L77" s="143"/>
      <c r="M77" s="143"/>
      <c r="P77" s="199"/>
      <c r="Q77" s="199"/>
      <c r="R77" s="200"/>
    </row>
    <row r="78" spans="1:32" ht="27" customHeight="1">
      <c r="A78" s="186"/>
      <c r="B78" s="167"/>
      <c r="C78" s="187"/>
      <c r="D78" s="187"/>
      <c r="E78" s="187"/>
      <c r="F78" s="187"/>
      <c r="G78" s="187"/>
      <c r="H78" s="173"/>
      <c r="I78" s="179"/>
      <c r="J78" s="179"/>
      <c r="K78" s="180"/>
      <c r="L78" s="168"/>
      <c r="M78" s="168"/>
    </row>
    <row r="79" spans="1:32" ht="24.75" customHeight="1">
      <c r="A79" s="201" t="s">
        <v>132</v>
      </c>
      <c r="B79" s="110">
        <v>5</v>
      </c>
      <c r="C79" s="202">
        <v>1</v>
      </c>
      <c r="D79" s="202">
        <v>2</v>
      </c>
      <c r="E79" s="202">
        <v>3</v>
      </c>
      <c r="F79" s="202">
        <v>4</v>
      </c>
      <c r="G79" s="202">
        <v>5</v>
      </c>
      <c r="H79" s="635" t="s">
        <v>123</v>
      </c>
      <c r="I79" s="636"/>
      <c r="J79" s="636"/>
      <c r="K79" s="637"/>
      <c r="L79" s="134">
        <f>'[1]6 เดือน'!$L$79</f>
        <v>4.3716577540106956</v>
      </c>
      <c r="M79" s="135">
        <f>IF(L79=0,"-",ROUND(L79*B79/B$94,4))</f>
        <v>0.21859999999999999</v>
      </c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</row>
    <row r="80" spans="1:32" ht="24.75" customHeight="1">
      <c r="A80" s="203" t="s">
        <v>36</v>
      </c>
      <c r="B80" s="204"/>
      <c r="C80" s="182"/>
      <c r="D80" s="182"/>
      <c r="E80" s="182"/>
      <c r="F80" s="182"/>
      <c r="G80" s="147"/>
      <c r="H80" s="177" t="s">
        <v>124</v>
      </c>
      <c r="I80" s="160"/>
      <c r="J80" s="205"/>
      <c r="K80" s="192"/>
      <c r="L80" s="206"/>
      <c r="M80" s="143"/>
      <c r="O80" s="207"/>
      <c r="P80" s="207"/>
      <c r="Q80" s="207"/>
      <c r="R80" s="207"/>
      <c r="S80" s="207"/>
      <c r="T80" s="207"/>
      <c r="U80" s="207"/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</row>
    <row r="81" spans="1:32" ht="24.75" customHeight="1">
      <c r="A81" s="203"/>
      <c r="B81" s="204"/>
      <c r="C81" s="182"/>
      <c r="D81" s="182"/>
      <c r="E81" s="182"/>
      <c r="F81" s="182"/>
      <c r="G81" s="182"/>
      <c r="H81" s="139" t="s">
        <v>125</v>
      </c>
      <c r="I81" s="160"/>
      <c r="J81" s="205"/>
      <c r="K81" s="192"/>
      <c r="L81" s="206"/>
      <c r="M81" s="143"/>
      <c r="O81" s="207"/>
      <c r="P81" s="207"/>
      <c r="Q81" s="207"/>
      <c r="R81" s="207"/>
      <c r="S81" s="207"/>
      <c r="T81" s="207"/>
      <c r="U81" s="207"/>
      <c r="V81" s="207"/>
      <c r="W81" s="207"/>
      <c r="X81" s="207"/>
      <c r="Y81" s="207"/>
      <c r="Z81" s="207"/>
      <c r="AA81" s="207"/>
      <c r="AB81" s="207"/>
      <c r="AC81" s="207"/>
      <c r="AD81" s="207"/>
      <c r="AE81" s="207"/>
      <c r="AF81" s="207"/>
    </row>
    <row r="82" spans="1:32" ht="24.75" customHeight="1">
      <c r="A82" s="203"/>
      <c r="B82" s="204"/>
      <c r="C82" s="182"/>
      <c r="D82" s="182"/>
      <c r="E82" s="182"/>
      <c r="F82" s="182"/>
      <c r="G82" s="182"/>
      <c r="H82" s="177" t="s">
        <v>126</v>
      </c>
      <c r="I82" s="160"/>
      <c r="J82" s="205"/>
      <c r="K82" s="192"/>
      <c r="L82" s="206"/>
      <c r="M82" s="143"/>
      <c r="O82" s="207"/>
      <c r="P82" s="207"/>
      <c r="Q82" s="207"/>
      <c r="R82" s="207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/>
      <c r="AE82" s="207"/>
      <c r="AF82" s="207"/>
    </row>
    <row r="83" spans="1:32" ht="24.75" customHeight="1">
      <c r="A83" s="203"/>
      <c r="B83" s="204"/>
      <c r="C83" s="182"/>
      <c r="D83" s="182"/>
      <c r="E83" s="182"/>
      <c r="F83" s="182"/>
      <c r="G83" s="182"/>
      <c r="H83" s="177" t="s">
        <v>127</v>
      </c>
      <c r="I83" s="160"/>
      <c r="J83" s="205"/>
      <c r="K83" s="192"/>
      <c r="L83" s="206"/>
      <c r="M83" s="143"/>
      <c r="O83" s="207"/>
      <c r="P83" s="207"/>
      <c r="Q83" s="207"/>
      <c r="R83" s="207"/>
      <c r="S83" s="207"/>
      <c r="T83" s="207"/>
      <c r="U83" s="207"/>
      <c r="V83" s="207"/>
      <c r="W83" s="207"/>
      <c r="X83" s="207"/>
      <c r="Y83" s="207"/>
      <c r="Z83" s="207"/>
      <c r="AA83" s="207"/>
      <c r="AB83" s="207"/>
      <c r="AC83" s="207"/>
      <c r="AD83" s="207"/>
      <c r="AE83" s="207"/>
      <c r="AF83" s="207"/>
    </row>
    <row r="84" spans="1:32" ht="24.75" customHeight="1">
      <c r="A84" s="203"/>
      <c r="B84" s="204"/>
      <c r="C84" s="182"/>
      <c r="D84" s="182"/>
      <c r="E84" s="182"/>
      <c r="F84" s="182"/>
      <c r="G84" s="182"/>
      <c r="H84" s="177"/>
      <c r="I84" s="164" t="s">
        <v>114</v>
      </c>
      <c r="J84" s="111">
        <v>4.37</v>
      </c>
      <c r="K84" s="183"/>
      <c r="L84" s="206"/>
      <c r="M84" s="143"/>
      <c r="O84" s="208"/>
      <c r="P84" s="208"/>
      <c r="Q84" s="208"/>
      <c r="R84" s="208"/>
      <c r="S84" s="208"/>
      <c r="T84" s="208"/>
      <c r="U84" s="208"/>
      <c r="V84" s="209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</row>
    <row r="85" spans="1:32" ht="24.75" customHeight="1">
      <c r="A85" s="210"/>
      <c r="B85" s="211"/>
      <c r="C85" s="187"/>
      <c r="D85" s="187"/>
      <c r="E85" s="187"/>
      <c r="F85" s="187"/>
      <c r="G85" s="187"/>
      <c r="H85" s="174"/>
      <c r="I85" s="179"/>
      <c r="J85" s="179"/>
      <c r="K85" s="180"/>
      <c r="L85" s="212"/>
      <c r="M85" s="168"/>
    </row>
    <row r="86" spans="1:32" ht="24.75" customHeight="1">
      <c r="A86" s="129" t="s">
        <v>115</v>
      </c>
      <c r="B86" s="110">
        <v>5</v>
      </c>
      <c r="C86" s="193">
        <v>0.8</v>
      </c>
      <c r="D86" s="193">
        <v>0.85</v>
      </c>
      <c r="E86" s="193">
        <v>0.9</v>
      </c>
      <c r="F86" s="193">
        <v>0.95</v>
      </c>
      <c r="G86" s="193">
        <v>1</v>
      </c>
      <c r="H86" s="635" t="s">
        <v>117</v>
      </c>
      <c r="I86" s="636"/>
      <c r="J86" s="636"/>
      <c r="K86" s="637"/>
      <c r="L86" s="134">
        <v>1</v>
      </c>
      <c r="M86" s="135">
        <f>IF(L86=0,"-",ROUND(L86*B86/B$94,4))</f>
        <v>0.05</v>
      </c>
    </row>
    <row r="87" spans="1:32" ht="24.75" customHeight="1">
      <c r="A87" s="144" t="s">
        <v>116</v>
      </c>
      <c r="B87" s="145"/>
      <c r="C87" s="182"/>
      <c r="D87" s="182"/>
      <c r="E87" s="182"/>
      <c r="F87" s="182"/>
      <c r="G87" s="182"/>
      <c r="H87" s="624" t="s">
        <v>118</v>
      </c>
      <c r="I87" s="625"/>
      <c r="J87" s="625"/>
      <c r="K87" s="626"/>
      <c r="L87" s="143"/>
      <c r="M87" s="143"/>
    </row>
    <row r="88" spans="1:32" ht="24.75" customHeight="1">
      <c r="A88" s="144"/>
      <c r="B88" s="145"/>
      <c r="C88" s="182"/>
      <c r="D88" s="182"/>
      <c r="E88" s="182"/>
      <c r="F88" s="182"/>
      <c r="G88" s="182"/>
      <c r="H88" s="624" t="s">
        <v>119</v>
      </c>
      <c r="I88" s="625"/>
      <c r="J88" s="625"/>
      <c r="K88" s="626"/>
      <c r="L88" s="143"/>
      <c r="M88" s="143"/>
    </row>
    <row r="89" spans="1:32" ht="24.75" customHeight="1">
      <c r="A89" s="144"/>
      <c r="B89" s="145"/>
      <c r="C89" s="182"/>
      <c r="D89" s="182"/>
      <c r="E89" s="182"/>
      <c r="F89" s="182"/>
      <c r="G89" s="182"/>
      <c r="H89" s="177" t="s">
        <v>120</v>
      </c>
      <c r="I89" s="139"/>
      <c r="J89" s="139"/>
      <c r="K89" s="165"/>
      <c r="L89" s="143"/>
      <c r="M89" s="143"/>
    </row>
    <row r="90" spans="1:32" ht="24.75" customHeight="1">
      <c r="A90" s="144"/>
      <c r="B90" s="145"/>
      <c r="C90" s="182"/>
      <c r="D90" s="182"/>
      <c r="E90" s="182"/>
      <c r="F90" s="182"/>
      <c r="G90" s="182"/>
      <c r="H90" s="177" t="s">
        <v>121</v>
      </c>
      <c r="I90" s="139"/>
      <c r="J90" s="139"/>
      <c r="K90" s="165"/>
      <c r="L90" s="143"/>
      <c r="M90" s="143"/>
    </row>
    <row r="91" spans="1:32" ht="24.75" customHeight="1">
      <c r="A91" s="144"/>
      <c r="B91" s="145"/>
      <c r="C91" s="182"/>
      <c r="D91" s="182"/>
      <c r="E91" s="182"/>
      <c r="F91" s="182"/>
      <c r="G91" s="182"/>
      <c r="H91" s="194"/>
      <c r="I91" s="195" t="s">
        <v>122</v>
      </c>
      <c r="J91" s="111">
        <v>0</v>
      </c>
      <c r="K91" s="165" t="s">
        <v>51</v>
      </c>
      <c r="L91" s="143"/>
      <c r="M91" s="143"/>
    </row>
    <row r="92" spans="1:32" ht="24.75" customHeight="1">
      <c r="A92" s="144"/>
      <c r="B92" s="213"/>
      <c r="C92" s="182"/>
      <c r="D92" s="182"/>
      <c r="E92" s="182"/>
      <c r="F92" s="182"/>
      <c r="G92" s="196"/>
      <c r="H92" s="197"/>
      <c r="I92" s="197"/>
      <c r="J92" s="197"/>
      <c r="K92" s="197"/>
      <c r="L92" s="143"/>
      <c r="M92" s="143"/>
    </row>
    <row r="93" spans="1:32" ht="31.5" customHeight="1">
      <c r="A93" s="649" t="s">
        <v>129</v>
      </c>
      <c r="B93" s="650"/>
      <c r="C93" s="650"/>
      <c r="D93" s="650"/>
      <c r="E93" s="650"/>
      <c r="F93" s="650"/>
      <c r="G93" s="650"/>
      <c r="H93" s="650"/>
      <c r="I93" s="650"/>
      <c r="J93" s="650"/>
      <c r="K93" s="650"/>
      <c r="L93" s="651"/>
      <c r="M93" s="214">
        <f>SUM(M86,M79,M73,M68,M60,M54,M49,M41,M35,M29,M24,M17,M9,M6)</f>
        <v>1.2636000000000001</v>
      </c>
    </row>
    <row r="94" spans="1:32">
      <c r="B94" s="215">
        <f>SUM(B6:B92)</f>
        <v>100</v>
      </c>
    </row>
  </sheetData>
  <mergeCells count="53"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  <mergeCell ref="H69:K69"/>
    <mergeCell ref="H48:K48"/>
    <mergeCell ref="H49:K49"/>
    <mergeCell ref="H50:K50"/>
    <mergeCell ref="H51:K51"/>
    <mergeCell ref="H53:K53"/>
    <mergeCell ref="H68:K68"/>
    <mergeCell ref="H54:K54"/>
    <mergeCell ref="H55:K55"/>
    <mergeCell ref="H60:K60"/>
    <mergeCell ref="H61:K61"/>
    <mergeCell ref="H62:K62"/>
    <mergeCell ref="H23:K23"/>
    <mergeCell ref="H24:K24"/>
    <mergeCell ref="H43:K43"/>
    <mergeCell ref="H26:K26"/>
    <mergeCell ref="H29:K29"/>
    <mergeCell ref="H30:K30"/>
    <mergeCell ref="H31:K31"/>
    <mergeCell ref="H32:K32"/>
    <mergeCell ref="H35:K35"/>
    <mergeCell ref="H36:K36"/>
    <mergeCell ref="H25:K25"/>
    <mergeCell ref="H37:K37"/>
    <mergeCell ref="H38:K38"/>
    <mergeCell ref="H41:K41"/>
    <mergeCell ref="H42:K42"/>
    <mergeCell ref="H18:K18"/>
    <mergeCell ref="H19:K19"/>
    <mergeCell ref="H20:K20"/>
    <mergeCell ref="H21:K21"/>
    <mergeCell ref="H9:I10"/>
    <mergeCell ref="J9:K9"/>
    <mergeCell ref="H11:I11"/>
    <mergeCell ref="H13:I13"/>
    <mergeCell ref="H14:I14"/>
    <mergeCell ref="H15:I15"/>
    <mergeCell ref="H17:K17"/>
    <mergeCell ref="A1:M1"/>
    <mergeCell ref="A2:M2"/>
    <mergeCell ref="C4:G4"/>
    <mergeCell ref="H4:K5"/>
    <mergeCell ref="L4:L5"/>
  </mergeCells>
  <printOptions horizontalCentered="1"/>
  <pageMargins left="0.27559055118110237" right="0.19685039370078741" top="0.55118110236220474" bottom="0.27559055118110237" header="0.19685039370078741" footer="0.47244094488188981"/>
  <pageSetup paperSize="9" scale="80" orientation="landscape" r:id="rId1"/>
  <headerFooter scaleWithDoc="0">
    <oddHeader>&amp;R&amp;"TH SarabunIT๙,ธรรมดา"&amp;16&amp;P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AN46"/>
  <sheetViews>
    <sheetView zoomScale="90" zoomScaleNormal="90" zoomScaleSheetLayoutView="80" zoomScalePageLayoutView="50" workbookViewId="0">
      <selection activeCell="J25" sqref="J25"/>
    </sheetView>
  </sheetViews>
  <sheetFormatPr defaultColWidth="9.140625" defaultRowHeight="21"/>
  <cols>
    <col min="1" max="1" width="38" style="292" customWidth="1"/>
    <col min="2" max="2" width="11.5703125" style="292" customWidth="1"/>
    <col min="3" max="3" width="9.85546875" style="292" customWidth="1"/>
    <col min="4" max="7" width="9.140625" style="292" customWidth="1"/>
    <col min="8" max="8" width="9.85546875" style="292" customWidth="1"/>
    <col min="9" max="9" width="16.140625" style="292" customWidth="1"/>
    <col min="10" max="10" width="16.5703125" style="292" customWidth="1"/>
    <col min="11" max="11" width="34.85546875" style="292" customWidth="1"/>
    <col min="12" max="13" width="11.140625" style="292" customWidth="1"/>
    <col min="14" max="16" width="9.140625" style="292"/>
    <col min="17" max="17" width="12.42578125" style="292" bestFit="1" customWidth="1"/>
    <col min="18" max="20" width="11.5703125" style="292" bestFit="1" customWidth="1"/>
    <col min="21" max="21" width="9.140625" style="292"/>
    <col min="22" max="30" width="11.5703125" style="292" bestFit="1" customWidth="1"/>
    <col min="31" max="31" width="17.85546875" style="292" customWidth="1"/>
    <col min="32" max="32" width="9.140625" style="292" bestFit="1" customWidth="1"/>
    <col min="33" max="33" width="11.140625" style="292" bestFit="1" customWidth="1"/>
    <col min="34" max="35" width="9.140625" style="292"/>
    <col min="36" max="36" width="86.140625" style="292" bestFit="1" customWidth="1"/>
    <col min="37" max="37" width="19.140625" style="292" bestFit="1" customWidth="1"/>
    <col min="38" max="38" width="15" style="292" bestFit="1" customWidth="1"/>
    <col min="39" max="39" width="10.42578125" style="292" bestFit="1" customWidth="1"/>
    <col min="40" max="16384" width="9.140625" style="292"/>
  </cols>
  <sheetData>
    <row r="1" spans="1:40" ht="24" customHeight="1">
      <c r="A1" s="728" t="s">
        <v>0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</row>
    <row r="2" spans="1:40" ht="24" customHeight="1">
      <c r="A2" s="728" t="s">
        <v>287</v>
      </c>
      <c r="B2" s="729"/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</row>
    <row r="3" spans="1:40" ht="24" customHeight="1">
      <c r="A3" s="293" t="s">
        <v>373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237</v>
      </c>
    </row>
    <row r="4" spans="1:40" s="298" customFormat="1" ht="25.9" customHeight="1">
      <c r="A4" s="352" t="s">
        <v>1</v>
      </c>
      <c r="B4" s="352" t="s">
        <v>2</v>
      </c>
      <c r="C4" s="744" t="s">
        <v>3</v>
      </c>
      <c r="D4" s="744"/>
      <c r="E4" s="744"/>
      <c r="F4" s="744"/>
      <c r="G4" s="744"/>
      <c r="H4" s="745" t="s">
        <v>4</v>
      </c>
      <c r="I4" s="746"/>
      <c r="J4" s="746"/>
      <c r="K4" s="747"/>
      <c r="L4" s="751" t="s">
        <v>5</v>
      </c>
      <c r="M4" s="353" t="s">
        <v>6</v>
      </c>
    </row>
    <row r="5" spans="1:40" s="357" customFormat="1" ht="25.9" customHeight="1">
      <c r="A5" s="354" t="s">
        <v>7</v>
      </c>
      <c r="B5" s="354" t="s">
        <v>8</v>
      </c>
      <c r="C5" s="355">
        <v>1</v>
      </c>
      <c r="D5" s="355">
        <v>2</v>
      </c>
      <c r="E5" s="355">
        <v>3</v>
      </c>
      <c r="F5" s="355">
        <v>4</v>
      </c>
      <c r="G5" s="355">
        <v>5</v>
      </c>
      <c r="H5" s="748"/>
      <c r="I5" s="749"/>
      <c r="J5" s="749"/>
      <c r="K5" s="750"/>
      <c r="L5" s="751"/>
      <c r="M5" s="356" t="s">
        <v>9</v>
      </c>
    </row>
    <row r="6" spans="1:40" ht="24" customHeight="1">
      <c r="A6" s="448" t="s">
        <v>159</v>
      </c>
      <c r="B6" s="302">
        <v>5.45</v>
      </c>
      <c r="C6" s="470">
        <v>0.65</v>
      </c>
      <c r="D6" s="470">
        <v>0.7</v>
      </c>
      <c r="E6" s="470">
        <v>0.75</v>
      </c>
      <c r="F6" s="470">
        <v>0.8</v>
      </c>
      <c r="G6" s="470">
        <v>0.85</v>
      </c>
      <c r="H6" s="703" t="s">
        <v>203</v>
      </c>
      <c r="I6" s="704"/>
      <c r="J6" s="704"/>
      <c r="K6" s="705"/>
      <c r="L6" s="303">
        <v>4.8520000000000003</v>
      </c>
      <c r="M6" s="451">
        <f>IF(L6=0,"-",ROUND(L6*B6/B$37,4))</f>
        <v>0.90810000000000002</v>
      </c>
    </row>
    <row r="7" spans="1:40" ht="24" customHeight="1">
      <c r="A7" s="452" t="s">
        <v>144</v>
      </c>
      <c r="B7" s="459"/>
      <c r="C7" s="460"/>
      <c r="D7" s="460"/>
      <c r="E7" s="460"/>
      <c r="F7" s="460"/>
      <c r="G7" s="460"/>
      <c r="H7" s="700" t="s">
        <v>365</v>
      </c>
      <c r="I7" s="701"/>
      <c r="J7" s="701"/>
      <c r="K7" s="702"/>
      <c r="L7" s="456"/>
      <c r="M7" s="457"/>
      <c r="N7" s="298" t="s">
        <v>238</v>
      </c>
      <c r="O7" s="317" t="s">
        <v>164</v>
      </c>
      <c r="P7" s="298" t="s">
        <v>165</v>
      </c>
      <c r="Q7" s="298" t="s">
        <v>166</v>
      </c>
      <c r="R7" s="317" t="s">
        <v>167</v>
      </c>
      <c r="S7" s="317" t="s">
        <v>168</v>
      </c>
      <c r="T7" s="317" t="s">
        <v>169</v>
      </c>
      <c r="U7" s="317" t="s">
        <v>170</v>
      </c>
      <c r="V7" s="317" t="s">
        <v>171</v>
      </c>
      <c r="W7" s="298" t="s">
        <v>172</v>
      </c>
      <c r="X7" s="317" t="s">
        <v>173</v>
      </c>
      <c r="Y7" s="317" t="s">
        <v>174</v>
      </c>
      <c r="Z7" s="298" t="s">
        <v>175</v>
      </c>
      <c r="AA7" s="317" t="s">
        <v>176</v>
      </c>
      <c r="AB7" s="317" t="s">
        <v>178</v>
      </c>
      <c r="AC7" s="298" t="s">
        <v>192</v>
      </c>
      <c r="AD7" s="298" t="s">
        <v>239</v>
      </c>
      <c r="AE7" s="298" t="s">
        <v>240</v>
      </c>
    </row>
    <row r="8" spans="1:40" ht="24" customHeight="1">
      <c r="A8" s="452"/>
      <c r="B8" s="459"/>
      <c r="C8" s="460"/>
      <c r="D8" s="460"/>
      <c r="E8" s="460"/>
      <c r="F8" s="460"/>
      <c r="G8" s="460"/>
      <c r="H8" s="700" t="s">
        <v>204</v>
      </c>
      <c r="I8" s="701"/>
      <c r="J8" s="701"/>
      <c r="K8" s="702"/>
      <c r="L8" s="456"/>
      <c r="M8" s="457"/>
      <c r="AI8" s="318" t="s">
        <v>241</v>
      </c>
      <c r="AJ8" s="319" t="s">
        <v>14</v>
      </c>
      <c r="AK8" s="320" t="s">
        <v>242</v>
      </c>
      <c r="AL8" s="321" t="s">
        <v>243</v>
      </c>
      <c r="AM8" s="322"/>
      <c r="AN8" s="322" t="s">
        <v>244</v>
      </c>
    </row>
    <row r="9" spans="1:40" ht="24" customHeight="1">
      <c r="A9" s="452"/>
      <c r="B9" s="459"/>
      <c r="C9" s="460"/>
      <c r="D9" s="460"/>
      <c r="E9" s="460"/>
      <c r="F9" s="460"/>
      <c r="G9" s="460"/>
      <c r="H9" s="700" t="s">
        <v>205</v>
      </c>
      <c r="I9" s="701"/>
      <c r="J9" s="701"/>
      <c r="K9" s="702"/>
      <c r="L9" s="456"/>
      <c r="M9" s="457"/>
      <c r="N9" s="323">
        <f>SUM(O9:AB9)</f>
        <v>2754.9592476500002</v>
      </c>
      <c r="O9" s="324">
        <v>63.05</v>
      </c>
      <c r="P9" s="324">
        <v>363.36509999999998</v>
      </c>
      <c r="Q9" s="324">
        <v>157.61449099999999</v>
      </c>
      <c r="R9" s="324">
        <v>122.296868</v>
      </c>
      <c r="S9" s="324"/>
      <c r="T9" s="324">
        <v>687.09411299999999</v>
      </c>
      <c r="U9" s="325">
        <v>432.493359</v>
      </c>
      <c r="V9" s="324"/>
      <c r="W9" s="324">
        <v>567.82270000000005</v>
      </c>
      <c r="X9" s="324">
        <v>128.228759</v>
      </c>
      <c r="Y9" s="324">
        <v>39.988</v>
      </c>
      <c r="AA9" s="326">
        <v>103.4341</v>
      </c>
      <c r="AB9" s="324">
        <v>89.571757649999995</v>
      </c>
      <c r="AC9" s="292">
        <f>SUM(O9:AB9)</f>
        <v>2754.9592476500002</v>
      </c>
      <c r="AE9" s="292">
        <f>AC9</f>
        <v>2754.9592476500002</v>
      </c>
      <c r="AI9" s="327">
        <v>1</v>
      </c>
      <c r="AJ9" s="328" t="s">
        <v>245</v>
      </c>
      <c r="AK9" s="329">
        <v>172677500</v>
      </c>
      <c r="AL9" s="330">
        <v>13.36</v>
      </c>
      <c r="AM9" s="331" t="e">
        <f>AL9*AK9/#REF!</f>
        <v>#REF!</v>
      </c>
      <c r="AN9" s="331">
        <f>AL9*AK9/AK9</f>
        <v>13.36</v>
      </c>
    </row>
    <row r="10" spans="1:40" ht="24" customHeight="1">
      <c r="A10" s="452"/>
      <c r="B10" s="459"/>
      <c r="C10" s="460"/>
      <c r="D10" s="460"/>
      <c r="E10" s="460"/>
      <c r="F10" s="460"/>
      <c r="G10" s="460"/>
      <c r="I10" s="471" t="s">
        <v>54</v>
      </c>
      <c r="J10" s="472">
        <v>84.26</v>
      </c>
      <c r="K10" s="551" t="s">
        <v>51</v>
      </c>
      <c r="L10" s="456"/>
      <c r="M10" s="457"/>
      <c r="N10" s="292">
        <f>(O10*O9+P10*P9+Q10*Q9+R10*R9+S10*S9+T10*T9+U10*U9+V10*V9+W10*W9+X10*X9+Y10*Y9+Z10*Z9+AA10*AA9+AB10*AB9)/N9</f>
        <v>84.754654906071266</v>
      </c>
      <c r="O10" s="324">
        <v>100</v>
      </c>
      <c r="P10" s="324">
        <v>63.46</v>
      </c>
      <c r="Q10" s="324">
        <v>51.39</v>
      </c>
      <c r="R10" s="324">
        <v>100</v>
      </c>
      <c r="S10" s="324"/>
      <c r="T10" s="324">
        <v>100</v>
      </c>
      <c r="U10" s="324">
        <v>98.85</v>
      </c>
      <c r="V10" s="324"/>
      <c r="W10" s="332">
        <v>77.599999999999994</v>
      </c>
      <c r="X10" s="324">
        <v>66.87</v>
      </c>
      <c r="Y10" s="324">
        <v>100</v>
      </c>
      <c r="AA10" s="324">
        <v>71.75</v>
      </c>
      <c r="AB10" s="324">
        <v>92.47</v>
      </c>
      <c r="AC10" s="333">
        <f>J10</f>
        <v>84.26</v>
      </c>
      <c r="AE10" s="333">
        <f>J10</f>
        <v>84.26</v>
      </c>
      <c r="AI10" s="327">
        <v>2</v>
      </c>
      <c r="AJ10" s="328" t="s">
        <v>246</v>
      </c>
      <c r="AK10" s="329">
        <v>525283600</v>
      </c>
      <c r="AL10" s="330">
        <v>35.229999999999997</v>
      </c>
      <c r="AM10" s="331" t="e">
        <f>AL10*AK10/#REF!</f>
        <v>#REF!</v>
      </c>
      <c r="AN10" s="331">
        <f t="shared" ref="AN10" si="0">(AL10*AK10/AK10)</f>
        <v>35.229999999999997</v>
      </c>
    </row>
    <row r="11" spans="1:40" ht="24" customHeight="1">
      <c r="A11" s="473"/>
      <c r="B11" s="474"/>
      <c r="C11" s="475"/>
      <c r="D11" s="475"/>
      <c r="E11" s="475"/>
      <c r="F11" s="475"/>
      <c r="G11" s="475"/>
      <c r="H11" s="719"/>
      <c r="I11" s="707"/>
      <c r="J11" s="707"/>
      <c r="K11" s="708"/>
      <c r="L11" s="476"/>
      <c r="M11" s="299"/>
      <c r="AE11" s="292" t="s">
        <v>20</v>
      </c>
      <c r="AI11" s="327"/>
      <c r="AJ11" s="328" t="s">
        <v>247</v>
      </c>
      <c r="AK11" s="329">
        <v>63771100</v>
      </c>
      <c r="AL11" s="330">
        <v>0.28000000000000003</v>
      </c>
      <c r="AM11" s="331" t="e">
        <f>AL11*AK11/#REF!</f>
        <v>#REF!</v>
      </c>
      <c r="AN11" s="331"/>
    </row>
    <row r="12" spans="1:40" ht="24" customHeight="1">
      <c r="A12" s="448" t="s">
        <v>160</v>
      </c>
      <c r="B12" s="302">
        <v>5.45</v>
      </c>
      <c r="C12" s="481">
        <v>0.5</v>
      </c>
      <c r="D12" s="481">
        <v>0.75</v>
      </c>
      <c r="E12" s="481">
        <v>1</v>
      </c>
      <c r="F12" s="481">
        <v>1</v>
      </c>
      <c r="G12" s="481">
        <v>1</v>
      </c>
      <c r="H12" s="703" t="s">
        <v>309</v>
      </c>
      <c r="I12" s="704"/>
      <c r="J12" s="704"/>
      <c r="K12" s="705"/>
      <c r="L12" s="303">
        <v>5</v>
      </c>
      <c r="M12" s="451">
        <f>IF(L12=0,"-",ROUND(L12*B12/B$37,4))</f>
        <v>0.93579999999999997</v>
      </c>
      <c r="AI12" s="327">
        <v>9</v>
      </c>
      <c r="AJ12" s="328" t="s">
        <v>271</v>
      </c>
      <c r="AK12" s="329">
        <v>300000</v>
      </c>
      <c r="AL12" s="350">
        <v>0</v>
      </c>
      <c r="AM12" s="351"/>
      <c r="AN12" s="351">
        <f t="shared" ref="AN12:AN14" si="1">AL12*100/AK12</f>
        <v>0</v>
      </c>
    </row>
    <row r="13" spans="1:40" ht="24" customHeight="1">
      <c r="A13" s="452" t="s">
        <v>161</v>
      </c>
      <c r="B13" s="453"/>
      <c r="C13" s="487"/>
      <c r="D13" s="487"/>
      <c r="E13" s="487"/>
      <c r="F13" s="487" t="s">
        <v>70</v>
      </c>
      <c r="G13" s="487" t="s">
        <v>70</v>
      </c>
      <c r="H13" s="701" t="s">
        <v>213</v>
      </c>
      <c r="I13" s="701"/>
      <c r="J13" s="701"/>
      <c r="K13" s="702"/>
      <c r="L13" s="456"/>
      <c r="M13" s="457"/>
      <c r="AI13" s="327">
        <v>11</v>
      </c>
      <c r="AJ13" s="328" t="s">
        <v>273</v>
      </c>
      <c r="AK13" s="329">
        <v>500000</v>
      </c>
      <c r="AL13" s="350">
        <v>62536.11</v>
      </c>
      <c r="AM13" s="351"/>
      <c r="AN13" s="351">
        <f t="shared" si="1"/>
        <v>12.507222000000001</v>
      </c>
    </row>
    <row r="14" spans="1:40" ht="24" customHeight="1">
      <c r="A14" s="452" t="s">
        <v>310</v>
      </c>
      <c r="B14" s="453"/>
      <c r="C14" s="487"/>
      <c r="D14" s="487"/>
      <c r="E14" s="487"/>
      <c r="F14" s="487" t="s">
        <v>138</v>
      </c>
      <c r="G14" s="487" t="s">
        <v>139</v>
      </c>
      <c r="H14" s="557" t="s">
        <v>200</v>
      </c>
      <c r="I14" s="471" t="s">
        <v>56</v>
      </c>
      <c r="J14" s="532">
        <v>100</v>
      </c>
      <c r="K14" s="551" t="s">
        <v>51</v>
      </c>
      <c r="L14" s="456"/>
      <c r="M14" s="457"/>
      <c r="AI14" s="327"/>
      <c r="AJ14" s="328" t="s">
        <v>275</v>
      </c>
      <c r="AK14" s="329">
        <v>300000</v>
      </c>
      <c r="AL14" s="350">
        <v>57903.85</v>
      </c>
      <c r="AM14" s="351"/>
      <c r="AN14" s="351">
        <f t="shared" si="1"/>
        <v>19.301283333333334</v>
      </c>
    </row>
    <row r="15" spans="1:40" ht="24" customHeight="1">
      <c r="A15" s="452"/>
      <c r="B15" s="453"/>
      <c r="C15" s="583"/>
      <c r="D15" s="583"/>
      <c r="E15" s="583"/>
      <c r="F15" s="583"/>
      <c r="G15" s="584"/>
      <c r="H15" s="549"/>
      <c r="I15" s="471"/>
      <c r="J15" s="585"/>
      <c r="K15" s="551"/>
      <c r="L15" s="456"/>
      <c r="M15" s="457"/>
      <c r="AI15" s="327"/>
      <c r="AJ15" s="328"/>
      <c r="AK15" s="329"/>
      <c r="AL15" s="350"/>
      <c r="AM15" s="351"/>
      <c r="AN15" s="351"/>
    </row>
    <row r="16" spans="1:40" ht="24" customHeight="1">
      <c r="A16" s="448" t="s">
        <v>150</v>
      </c>
      <c r="B16" s="302">
        <v>1.87</v>
      </c>
      <c r="C16" s="481">
        <v>0.6</v>
      </c>
      <c r="D16" s="481">
        <v>0.65</v>
      </c>
      <c r="E16" s="481">
        <v>0.7</v>
      </c>
      <c r="F16" s="481">
        <v>0.75</v>
      </c>
      <c r="G16" s="481">
        <v>0.8</v>
      </c>
      <c r="H16" s="703" t="s">
        <v>222</v>
      </c>
      <c r="I16" s="704"/>
      <c r="J16" s="704"/>
      <c r="K16" s="705"/>
      <c r="L16" s="303">
        <v>5</v>
      </c>
      <c r="M16" s="451">
        <f>IF(L16=0,"-",ROUND(L16*B16/B$37,4))</f>
        <v>0.3211</v>
      </c>
      <c r="AI16" s="327"/>
      <c r="AJ16" s="328" t="s">
        <v>277</v>
      </c>
      <c r="AK16" s="329">
        <v>500000</v>
      </c>
      <c r="AL16" s="350">
        <v>150000</v>
      </c>
      <c r="AM16" s="351"/>
      <c r="AN16" s="351">
        <f t="shared" ref="AN16" si="2">AL16*100/AK16</f>
        <v>30</v>
      </c>
    </row>
    <row r="17" spans="1:40" ht="24" customHeight="1">
      <c r="A17" s="452" t="s">
        <v>151</v>
      </c>
      <c r="B17" s="453"/>
      <c r="C17" s="537"/>
      <c r="D17" s="537"/>
      <c r="E17" s="537"/>
      <c r="F17" s="537"/>
      <c r="G17" s="537"/>
      <c r="H17" s="700" t="s">
        <v>223</v>
      </c>
      <c r="I17" s="701"/>
      <c r="J17" s="701"/>
      <c r="K17" s="702"/>
      <c r="L17" s="456"/>
      <c r="M17" s="457"/>
      <c r="AI17" s="327"/>
      <c r="AJ17" s="328"/>
      <c r="AK17" s="329" t="e">
        <f>#REF!+#REF!+#REF!+#REF!+#REF!+AK4+AK5+AK6+AK7+#REF!+#REF!+#REF!+#REF!+#REF!+#REF!+#REF!+AK16</f>
        <v>#REF!</v>
      </c>
      <c r="AL17" s="350" t="e">
        <f>#REF!+#REF!+#REF!+#REF!+#REF!+AL4+AL5+AL6+AL7+#REF!+#REF!+#REF!+#REF!+#REF!+#REF!+#REF!+AL16</f>
        <v>#REF!</v>
      </c>
      <c r="AM17" s="351"/>
      <c r="AN17" s="351" t="e">
        <f>AL17*100/AK17</f>
        <v>#REF!</v>
      </c>
    </row>
    <row r="18" spans="1:40" ht="24" customHeight="1">
      <c r="A18" s="452" t="s">
        <v>91</v>
      </c>
      <c r="B18" s="459"/>
      <c r="C18" s="460"/>
      <c r="D18" s="460"/>
      <c r="E18" s="460"/>
      <c r="F18" s="460"/>
      <c r="G18" s="460"/>
      <c r="H18" s="700" t="s">
        <v>224</v>
      </c>
      <c r="I18" s="701"/>
      <c r="J18" s="701"/>
      <c r="K18" s="702"/>
      <c r="L18" s="456"/>
      <c r="M18" s="457"/>
    </row>
    <row r="19" spans="1:40" ht="24" customHeight="1">
      <c r="A19" s="452"/>
      <c r="B19" s="459"/>
      <c r="C19" s="460"/>
      <c r="D19" s="460"/>
      <c r="E19" s="460"/>
      <c r="F19" s="460"/>
      <c r="G19" s="460"/>
      <c r="H19" s="557"/>
      <c r="I19" s="471" t="s">
        <v>97</v>
      </c>
      <c r="J19" s="532">
        <v>271</v>
      </c>
      <c r="K19" s="558" t="s">
        <v>96</v>
      </c>
      <c r="L19" s="456"/>
      <c r="M19" s="457"/>
    </row>
    <row r="20" spans="1:40" ht="24" customHeight="1">
      <c r="A20" s="452"/>
      <c r="B20" s="459"/>
      <c r="C20" s="460"/>
      <c r="D20" s="460"/>
      <c r="E20" s="460"/>
      <c r="F20" s="460"/>
      <c r="G20" s="460"/>
      <c r="H20" s="557"/>
      <c r="I20" s="471" t="s">
        <v>98</v>
      </c>
      <c r="J20" s="532">
        <v>271</v>
      </c>
      <c r="K20" s="558" t="s">
        <v>96</v>
      </c>
      <c r="L20" s="456"/>
      <c r="M20" s="457"/>
    </row>
    <row r="21" spans="1:40" ht="24" customHeight="1">
      <c r="A21" s="452"/>
      <c r="B21" s="459"/>
      <c r="C21" s="460"/>
      <c r="D21" s="460"/>
      <c r="E21" s="460"/>
      <c r="F21" s="460"/>
      <c r="G21" s="460"/>
      <c r="H21" s="549"/>
      <c r="I21" s="471" t="s">
        <v>35</v>
      </c>
      <c r="J21" s="532">
        <f>ROUND(J20*100/J19,2)</f>
        <v>100</v>
      </c>
      <c r="K21" s="551" t="s">
        <v>51</v>
      </c>
      <c r="L21" s="456"/>
      <c r="M21" s="457"/>
    </row>
    <row r="22" spans="1:40" ht="24" customHeight="1">
      <c r="A22" s="473"/>
      <c r="B22" s="474"/>
      <c r="C22" s="475"/>
      <c r="D22" s="475"/>
      <c r="E22" s="475"/>
      <c r="F22" s="475"/>
      <c r="G22" s="475"/>
      <c r="H22" s="538"/>
      <c r="I22" s="488"/>
      <c r="J22" s="488"/>
      <c r="K22" s="556"/>
      <c r="L22" s="476"/>
      <c r="M22" s="299"/>
    </row>
    <row r="23" spans="1:40" ht="24" customHeight="1">
      <c r="A23" s="489" t="s">
        <v>152</v>
      </c>
      <c r="B23" s="490">
        <v>5.45</v>
      </c>
      <c r="C23" s="491">
        <v>0.65</v>
      </c>
      <c r="D23" s="491">
        <v>0.7</v>
      </c>
      <c r="E23" s="491">
        <v>0.75</v>
      </c>
      <c r="F23" s="491">
        <v>0.8</v>
      </c>
      <c r="G23" s="491">
        <v>0.85</v>
      </c>
      <c r="H23" s="703" t="s">
        <v>225</v>
      </c>
      <c r="I23" s="704"/>
      <c r="J23" s="704"/>
      <c r="K23" s="705"/>
      <c r="L23" s="303">
        <v>4.7939999999999996</v>
      </c>
      <c r="M23" s="451">
        <f>IF(L23=0,"-",ROUND(L23*B23/B$37,4))</f>
        <v>0.8972</v>
      </c>
    </row>
    <row r="24" spans="1:40" ht="24" customHeight="1">
      <c r="A24" s="452" t="s">
        <v>153</v>
      </c>
      <c r="B24" s="459"/>
      <c r="C24" s="460"/>
      <c r="D24" s="460"/>
      <c r="E24" s="460"/>
      <c r="F24" s="460"/>
      <c r="G24" s="460"/>
      <c r="H24" s="700" t="s">
        <v>226</v>
      </c>
      <c r="I24" s="701"/>
      <c r="J24" s="701"/>
      <c r="K24" s="702"/>
      <c r="L24" s="456"/>
      <c r="M24" s="457"/>
    </row>
    <row r="25" spans="1:40" ht="24" customHeight="1">
      <c r="A25" s="492" t="s">
        <v>162</v>
      </c>
      <c r="B25" s="459"/>
      <c r="C25" s="460"/>
      <c r="D25" s="460"/>
      <c r="E25" s="460"/>
      <c r="F25" s="460"/>
      <c r="G25" s="460"/>
      <c r="H25" s="557" t="s">
        <v>200</v>
      </c>
      <c r="I25" s="493" t="s">
        <v>113</v>
      </c>
      <c r="J25" s="545">
        <v>83.97</v>
      </c>
      <c r="K25" s="551" t="s">
        <v>51</v>
      </c>
      <c r="L25" s="456"/>
      <c r="M25" s="457"/>
    </row>
    <row r="26" spans="1:40" ht="24" customHeight="1">
      <c r="A26" s="473"/>
      <c r="B26" s="474"/>
      <c r="C26" s="475"/>
      <c r="D26" s="475"/>
      <c r="E26" s="475"/>
      <c r="F26" s="475"/>
      <c r="G26" s="586"/>
      <c r="H26" s="488"/>
      <c r="I26" s="488"/>
      <c r="J26" s="488"/>
      <c r="K26" s="488"/>
      <c r="L26" s="476"/>
      <c r="M26" s="299"/>
    </row>
    <row r="27" spans="1:40" ht="26.45" customHeight="1">
      <c r="A27" s="448" t="s">
        <v>154</v>
      </c>
      <c r="B27" s="490">
        <v>5.45</v>
      </c>
      <c r="C27" s="496" t="s">
        <v>29</v>
      </c>
      <c r="D27" s="496" t="s">
        <v>30</v>
      </c>
      <c r="E27" s="496" t="s">
        <v>31</v>
      </c>
      <c r="F27" s="496" t="s">
        <v>32</v>
      </c>
      <c r="G27" s="496" t="s">
        <v>33</v>
      </c>
      <c r="H27" s="703" t="s">
        <v>227</v>
      </c>
      <c r="I27" s="704"/>
      <c r="J27" s="704"/>
      <c r="K27" s="705"/>
      <c r="L27" s="303">
        <v>2</v>
      </c>
      <c r="M27" s="451">
        <f>IF(L27=0,"-",ROUND(L27*B27/B$37,4))</f>
        <v>0.37430000000000002</v>
      </c>
    </row>
    <row r="28" spans="1:40" ht="26.45" customHeight="1">
      <c r="A28" s="452" t="s">
        <v>107</v>
      </c>
      <c r="B28" s="459"/>
      <c r="C28" s="497">
        <v>1.5</v>
      </c>
      <c r="D28" s="497">
        <v>2</v>
      </c>
      <c r="E28" s="497">
        <v>2.5</v>
      </c>
      <c r="F28" s="497">
        <v>3</v>
      </c>
      <c r="G28" s="497">
        <v>5</v>
      </c>
      <c r="H28" s="700" t="s">
        <v>228</v>
      </c>
      <c r="I28" s="701"/>
      <c r="J28" s="701"/>
      <c r="K28" s="702"/>
      <c r="L28" s="456"/>
      <c r="M28" s="457"/>
    </row>
    <row r="29" spans="1:40" ht="26.45" customHeight="1">
      <c r="A29" s="452" t="s">
        <v>310</v>
      </c>
      <c r="B29" s="459"/>
      <c r="C29" s="494"/>
      <c r="D29" s="494"/>
      <c r="E29" s="494"/>
      <c r="F29" s="494"/>
      <c r="G29" s="494"/>
      <c r="H29" s="700" t="s">
        <v>213</v>
      </c>
      <c r="I29" s="701"/>
      <c r="J29" s="701"/>
      <c r="K29" s="702"/>
      <c r="L29" s="456"/>
      <c r="M29" s="457"/>
    </row>
    <row r="30" spans="1:40" ht="26.45" customHeight="1">
      <c r="A30" s="452"/>
      <c r="B30" s="459"/>
      <c r="C30" s="494"/>
      <c r="D30" s="494"/>
      <c r="E30" s="494"/>
      <c r="F30" s="494"/>
      <c r="G30" s="494"/>
      <c r="H30" s="549"/>
      <c r="I30" s="471" t="s">
        <v>112</v>
      </c>
      <c r="J30" s="472">
        <v>1.51</v>
      </c>
      <c r="K30" s="558"/>
      <c r="L30" s="456"/>
      <c r="M30" s="457"/>
    </row>
    <row r="31" spans="1:40" ht="26.45" customHeight="1">
      <c r="A31" s="473"/>
      <c r="B31" s="474"/>
      <c r="C31" s="475"/>
      <c r="D31" s="475"/>
      <c r="E31" s="475"/>
      <c r="F31" s="475"/>
      <c r="G31" s="475"/>
      <c r="H31" s="477"/>
      <c r="I31" s="554"/>
      <c r="J31" s="554"/>
      <c r="K31" s="555"/>
      <c r="L31" s="476"/>
      <c r="M31" s="299"/>
    </row>
    <row r="32" spans="1:40" ht="26.45" customHeight="1">
      <c r="A32" s="539" t="s">
        <v>155</v>
      </c>
      <c r="B32" s="490">
        <v>5.45</v>
      </c>
      <c r="C32" s="491">
        <v>0.1</v>
      </c>
      <c r="D32" s="491">
        <v>0.3</v>
      </c>
      <c r="E32" s="491">
        <v>0.5</v>
      </c>
      <c r="F32" s="491">
        <v>0.7</v>
      </c>
      <c r="G32" s="491">
        <v>1</v>
      </c>
      <c r="H32" s="738" t="s">
        <v>316</v>
      </c>
      <c r="I32" s="739"/>
      <c r="J32" s="739"/>
      <c r="K32" s="740"/>
      <c r="L32" s="303">
        <f>ROUND(4+((J35-70)*1/30),4)</f>
        <v>5</v>
      </c>
      <c r="M32" s="451">
        <f>IF(L32=0,"-",ROUND(L32*B32/B$37,4))</f>
        <v>0.93579999999999997</v>
      </c>
      <c r="Q32" s="292" t="s">
        <v>164</v>
      </c>
      <c r="R32" s="292" t="s">
        <v>165</v>
      </c>
      <c r="S32" s="292" t="s">
        <v>166</v>
      </c>
      <c r="T32" s="292" t="s">
        <v>180</v>
      </c>
      <c r="U32" s="292" t="s">
        <v>181</v>
      </c>
      <c r="V32" s="292" t="s">
        <v>278</v>
      </c>
      <c r="W32" s="292" t="s">
        <v>183</v>
      </c>
      <c r="X32" s="292" t="s">
        <v>184</v>
      </c>
      <c r="Y32" s="292" t="s">
        <v>185</v>
      </c>
      <c r="Z32" s="292" t="s">
        <v>186</v>
      </c>
      <c r="AA32" s="292" t="s">
        <v>187</v>
      </c>
      <c r="AB32" s="292" t="s">
        <v>188</v>
      </c>
      <c r="AC32" s="292" t="s">
        <v>189</v>
      </c>
      <c r="AD32" s="292" t="s">
        <v>190</v>
      </c>
      <c r="AE32" s="292" t="s">
        <v>191</v>
      </c>
      <c r="AF32" s="292" t="s">
        <v>192</v>
      </c>
      <c r="AG32" s="292" t="s">
        <v>193</v>
      </c>
      <c r="AH32" s="292" t="s">
        <v>20</v>
      </c>
    </row>
    <row r="33" spans="1:34" ht="26.45" customHeight="1">
      <c r="A33" s="541" t="s">
        <v>197</v>
      </c>
      <c r="B33" s="542"/>
      <c r="C33" s="460"/>
      <c r="D33" s="460"/>
      <c r="E33" s="460"/>
      <c r="F33" s="460"/>
      <c r="G33" s="482"/>
      <c r="H33" s="560" t="s">
        <v>317</v>
      </c>
      <c r="I33" s="501"/>
      <c r="J33" s="581"/>
      <c r="K33" s="582"/>
      <c r="L33" s="458"/>
      <c r="M33" s="457"/>
      <c r="Q33" s="292">
        <v>82</v>
      </c>
      <c r="R33" s="292">
        <v>100</v>
      </c>
      <c r="S33" s="292">
        <v>0</v>
      </c>
      <c r="T33" s="292">
        <v>82</v>
      </c>
      <c r="U33" s="292">
        <v>72</v>
      </c>
      <c r="V33" s="292">
        <v>81</v>
      </c>
      <c r="W33" s="292">
        <v>95</v>
      </c>
      <c r="X33" s="292">
        <v>72</v>
      </c>
      <c r="Y33" s="292">
        <v>80</v>
      </c>
      <c r="Z33" s="292">
        <v>76</v>
      </c>
      <c r="AA33" s="292">
        <v>76</v>
      </c>
      <c r="AB33" s="292">
        <v>86</v>
      </c>
      <c r="AC33" s="292">
        <v>76</v>
      </c>
      <c r="AD33" s="292">
        <v>70</v>
      </c>
      <c r="AE33" s="292">
        <v>100</v>
      </c>
      <c r="AF33" s="292">
        <v>72</v>
      </c>
      <c r="AG33" s="292">
        <v>95</v>
      </c>
      <c r="AH33" s="315">
        <f>(Q33+R33+S33+T33+U33+V33+W33+X33+Y33+Z33+AA33+AB33+AC33+AD33+AE33+AF33+AG33)/17</f>
        <v>77.352941176470594</v>
      </c>
    </row>
    <row r="34" spans="1:34" ht="26.45" customHeight="1">
      <c r="A34" s="452" t="s">
        <v>310</v>
      </c>
      <c r="B34" s="542"/>
      <c r="C34" s="460"/>
      <c r="D34" s="460"/>
      <c r="E34" s="460"/>
      <c r="F34" s="460"/>
      <c r="G34" s="460"/>
      <c r="H34" s="561" t="s">
        <v>231</v>
      </c>
      <c r="I34" s="501"/>
      <c r="J34" s="581"/>
      <c r="K34" s="582"/>
      <c r="L34" s="458"/>
      <c r="M34" s="457"/>
    </row>
    <row r="35" spans="1:34" ht="26.45" customHeight="1">
      <c r="A35" s="541"/>
      <c r="B35" s="542"/>
      <c r="C35" s="460"/>
      <c r="D35" s="460"/>
      <c r="E35" s="460"/>
      <c r="F35" s="460"/>
      <c r="G35" s="460"/>
      <c r="H35" s="560"/>
      <c r="I35" s="400" t="s">
        <v>114</v>
      </c>
      <c r="J35" s="532">
        <v>100</v>
      </c>
      <c r="K35" s="558" t="s">
        <v>51</v>
      </c>
      <c r="L35" s="458"/>
      <c r="M35" s="457"/>
      <c r="P35" s="305"/>
    </row>
    <row r="36" spans="1:34" ht="26.45" customHeight="1">
      <c r="A36" s="546"/>
      <c r="B36" s="547"/>
      <c r="C36" s="475"/>
      <c r="D36" s="475"/>
      <c r="E36" s="475"/>
      <c r="F36" s="475"/>
      <c r="G36" s="475"/>
      <c r="H36" s="478"/>
      <c r="I36" s="554"/>
      <c r="J36" s="554"/>
      <c r="K36" s="555"/>
      <c r="L36" s="548"/>
      <c r="M36" s="299"/>
    </row>
    <row r="37" spans="1:34" ht="30" customHeight="1">
      <c r="A37" s="309"/>
      <c r="B37" s="310">
        <f>SUM(B6:B36)</f>
        <v>29.119999999999997</v>
      </c>
      <c r="C37" s="311"/>
      <c r="D37" s="311"/>
      <c r="E37" s="311"/>
      <c r="F37" s="311"/>
      <c r="G37" s="312"/>
      <c r="H37" s="311"/>
      <c r="I37" s="311"/>
      <c r="J37" s="311"/>
      <c r="K37" s="311"/>
      <c r="L37" s="313" t="s">
        <v>140</v>
      </c>
      <c r="M37" s="316">
        <f>SUM(M6:M36)</f>
        <v>4.3722999999999992</v>
      </c>
      <c r="O37" s="307"/>
      <c r="P37" s="307"/>
      <c r="Q37" s="307"/>
      <c r="R37" s="307"/>
      <c r="S37" s="307"/>
      <c r="T37" s="307"/>
      <c r="U37" s="307"/>
      <c r="V37" s="307"/>
      <c r="W37" s="307"/>
      <c r="X37" s="307"/>
      <c r="Y37" s="307"/>
      <c r="Z37" s="307"/>
      <c r="AA37" s="307"/>
      <c r="AB37" s="307"/>
      <c r="AC37" s="307"/>
      <c r="AD37" s="307"/>
      <c r="AE37" s="307"/>
      <c r="AF37" s="307"/>
    </row>
    <row r="38" spans="1:34" ht="24" customHeight="1">
      <c r="O38" s="307"/>
      <c r="P38" s="307"/>
      <c r="Q38" s="307"/>
      <c r="R38" s="307"/>
      <c r="S38" s="307"/>
      <c r="T38" s="307"/>
      <c r="U38" s="307"/>
      <c r="V38" s="308"/>
      <c r="W38" s="307"/>
      <c r="X38" s="307"/>
      <c r="Y38" s="307"/>
      <c r="Z38" s="307"/>
      <c r="AA38" s="307"/>
      <c r="AB38" s="307"/>
      <c r="AC38" s="307"/>
      <c r="AD38" s="307"/>
      <c r="AE38" s="307"/>
      <c r="AF38" s="307"/>
    </row>
    <row r="39" spans="1:34" ht="24" customHeight="1">
      <c r="A39" s="314"/>
    </row>
    <row r="40" spans="1:34" ht="24" customHeight="1"/>
    <row r="41" spans="1:34" ht="24" customHeight="1"/>
    <row r="42" spans="1:34" ht="24" customHeight="1"/>
    <row r="43" spans="1:34" ht="24" customHeight="1"/>
    <row r="44" spans="1:34" ht="24" customHeight="1"/>
    <row r="45" spans="1:34" ht="24" customHeight="1"/>
    <row r="46" spans="1:34" ht="24" customHeight="1"/>
  </sheetData>
  <mergeCells count="21"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1:K11"/>
    <mergeCell ref="H12:K12"/>
    <mergeCell ref="H28:K28"/>
    <mergeCell ref="H29:K29"/>
    <mergeCell ref="H32:K32"/>
    <mergeCell ref="H16:K16"/>
    <mergeCell ref="H17:K17"/>
    <mergeCell ref="H18:K18"/>
    <mergeCell ref="H23:K23"/>
    <mergeCell ref="H24:K24"/>
    <mergeCell ref="H27:K27"/>
  </mergeCells>
  <printOptions horizontalCentered="1"/>
  <pageMargins left="0.31496062992125984" right="0.19685039370078741" top="1.2204724409448819" bottom="1.0236220472440944" header="0.51181102362204722" footer="0.43307086614173229"/>
  <pageSetup paperSize="9" scale="75" orientation="landscape" r:id="rId1"/>
  <headerFooter scaleWithDoc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N68"/>
  <sheetViews>
    <sheetView view="pageBreakPreview" zoomScaleNormal="90" zoomScaleSheetLayoutView="100" zoomScalePageLayoutView="50" workbookViewId="0">
      <selection activeCell="H8" sqref="H8:K8"/>
    </sheetView>
  </sheetViews>
  <sheetFormatPr defaultColWidth="9.140625" defaultRowHeight="21"/>
  <cols>
    <col min="1" max="1" width="38" style="368" customWidth="1"/>
    <col min="2" max="2" width="11.5703125" style="368" customWidth="1"/>
    <col min="3" max="3" width="9.85546875" style="368" customWidth="1"/>
    <col min="4" max="7" width="9.28515625" style="368" customWidth="1"/>
    <col min="8" max="8" width="9.85546875" style="368" customWidth="1"/>
    <col min="9" max="9" width="16.140625" style="368" customWidth="1"/>
    <col min="10" max="10" width="16.5703125" style="368" customWidth="1"/>
    <col min="11" max="11" width="34.5703125" style="368" customWidth="1"/>
    <col min="12" max="12" width="11.140625" style="421" customWidth="1"/>
    <col min="13" max="13" width="11.140625" style="368" customWidth="1"/>
    <col min="14" max="16" width="9.140625" style="368"/>
    <col min="17" max="17" width="12.42578125" style="368" bestFit="1" customWidth="1"/>
    <col min="18" max="20" width="11.5703125" style="368" bestFit="1" customWidth="1"/>
    <col min="21" max="21" width="9.140625" style="368"/>
    <col min="22" max="30" width="11.5703125" style="368" bestFit="1" customWidth="1"/>
    <col min="31" max="31" width="17.7109375" style="368" customWidth="1"/>
    <col min="32" max="32" width="9.28515625" style="368" bestFit="1" customWidth="1"/>
    <col min="33" max="33" width="11.28515625" style="368" bestFit="1" customWidth="1"/>
    <col min="34" max="35" width="9.140625" style="368"/>
    <col min="36" max="36" width="86.140625" style="368" bestFit="1" customWidth="1"/>
    <col min="37" max="37" width="19.28515625" style="368" bestFit="1" customWidth="1"/>
    <col min="38" max="38" width="15" style="368" bestFit="1" customWidth="1"/>
    <col min="39" max="39" width="10.42578125" style="368" bestFit="1" customWidth="1"/>
    <col min="40" max="16384" width="9.140625" style="368"/>
  </cols>
  <sheetData>
    <row r="1" spans="1:40" ht="24" customHeight="1">
      <c r="A1" s="752" t="s">
        <v>0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2" spans="1:40" ht="24" customHeight="1">
      <c r="A2" s="752" t="s">
        <v>298</v>
      </c>
      <c r="B2" s="753"/>
      <c r="C2" s="753"/>
      <c r="D2" s="753"/>
      <c r="E2" s="753"/>
      <c r="F2" s="753"/>
      <c r="G2" s="753"/>
      <c r="H2" s="753"/>
      <c r="I2" s="753"/>
      <c r="J2" s="753"/>
      <c r="K2" s="753"/>
      <c r="L2" s="753"/>
      <c r="M2" s="753"/>
    </row>
    <row r="3" spans="1:40" ht="24" customHeight="1">
      <c r="A3" s="369" t="s">
        <v>373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72" t="s">
        <v>237</v>
      </c>
    </row>
    <row r="4" spans="1:40" s="375" customFormat="1" ht="24" customHeight="1">
      <c r="A4" s="373" t="s">
        <v>1</v>
      </c>
      <c r="B4" s="373" t="s">
        <v>2</v>
      </c>
      <c r="C4" s="754" t="s">
        <v>3</v>
      </c>
      <c r="D4" s="754"/>
      <c r="E4" s="754"/>
      <c r="F4" s="754"/>
      <c r="G4" s="754"/>
      <c r="H4" s="755" t="s">
        <v>4</v>
      </c>
      <c r="I4" s="756"/>
      <c r="J4" s="756"/>
      <c r="K4" s="757"/>
      <c r="L4" s="761" t="s">
        <v>5</v>
      </c>
      <c r="M4" s="374" t="s">
        <v>6</v>
      </c>
    </row>
    <row r="5" spans="1:40" s="375" customFormat="1" ht="24" customHeight="1">
      <c r="A5" s="376" t="s">
        <v>7</v>
      </c>
      <c r="B5" s="376" t="s">
        <v>8</v>
      </c>
      <c r="C5" s="377">
        <v>1</v>
      </c>
      <c r="D5" s="377">
        <v>2</v>
      </c>
      <c r="E5" s="377">
        <v>3</v>
      </c>
      <c r="F5" s="377">
        <v>4</v>
      </c>
      <c r="G5" s="377">
        <v>5</v>
      </c>
      <c r="H5" s="758"/>
      <c r="I5" s="759"/>
      <c r="J5" s="759"/>
      <c r="K5" s="760"/>
      <c r="L5" s="761"/>
      <c r="M5" s="378" t="s">
        <v>9</v>
      </c>
    </row>
    <row r="6" spans="1:40" ht="24" customHeight="1">
      <c r="A6" s="379" t="s">
        <v>159</v>
      </c>
      <c r="B6" s="302">
        <v>5.45</v>
      </c>
      <c r="C6" s="506">
        <v>0.65</v>
      </c>
      <c r="D6" s="506">
        <v>0.7</v>
      </c>
      <c r="E6" s="506">
        <v>0.75</v>
      </c>
      <c r="F6" s="506">
        <v>0.8</v>
      </c>
      <c r="G6" s="506">
        <v>0.85</v>
      </c>
      <c r="H6" s="738" t="s">
        <v>203</v>
      </c>
      <c r="I6" s="739"/>
      <c r="J6" s="739"/>
      <c r="K6" s="740"/>
      <c r="L6" s="303">
        <v>4.8520000000000003</v>
      </c>
      <c r="M6" s="380">
        <f>IF(L6=0,"-",ROUND(L6*B6/B$59,4))</f>
        <v>0.36349999999999999</v>
      </c>
    </row>
    <row r="7" spans="1:40" ht="24" customHeight="1">
      <c r="A7" s="381" t="s">
        <v>144</v>
      </c>
      <c r="B7" s="382"/>
      <c r="C7" s="383"/>
      <c r="D7" s="383"/>
      <c r="E7" s="383"/>
      <c r="F7" s="383"/>
      <c r="G7" s="383"/>
      <c r="H7" s="762" t="s">
        <v>365</v>
      </c>
      <c r="I7" s="763"/>
      <c r="J7" s="763"/>
      <c r="K7" s="764"/>
      <c r="L7" s="384"/>
      <c r="M7" s="385"/>
      <c r="N7" s="375" t="s">
        <v>238</v>
      </c>
      <c r="O7" s="386" t="s">
        <v>164</v>
      </c>
      <c r="P7" s="375" t="s">
        <v>165</v>
      </c>
      <c r="Q7" s="375" t="s">
        <v>166</v>
      </c>
      <c r="R7" s="386" t="s">
        <v>167</v>
      </c>
      <c r="S7" s="386" t="s">
        <v>168</v>
      </c>
      <c r="T7" s="386" t="s">
        <v>169</v>
      </c>
      <c r="U7" s="386" t="s">
        <v>170</v>
      </c>
      <c r="V7" s="386" t="s">
        <v>171</v>
      </c>
      <c r="W7" s="375" t="s">
        <v>172</v>
      </c>
      <c r="X7" s="386" t="s">
        <v>173</v>
      </c>
      <c r="Y7" s="386" t="s">
        <v>174</v>
      </c>
      <c r="Z7" s="375" t="s">
        <v>175</v>
      </c>
      <c r="AA7" s="386" t="s">
        <v>176</v>
      </c>
      <c r="AB7" s="386" t="s">
        <v>178</v>
      </c>
      <c r="AC7" s="375" t="s">
        <v>192</v>
      </c>
      <c r="AD7" s="375" t="s">
        <v>239</v>
      </c>
      <c r="AE7" s="375" t="s">
        <v>240</v>
      </c>
    </row>
    <row r="8" spans="1:40" ht="24" customHeight="1">
      <c r="A8" s="381"/>
      <c r="B8" s="382"/>
      <c r="C8" s="383"/>
      <c r="D8" s="383"/>
      <c r="E8" s="383"/>
      <c r="F8" s="383"/>
      <c r="G8" s="383"/>
      <c r="H8" s="762" t="s">
        <v>204</v>
      </c>
      <c r="I8" s="763"/>
      <c r="J8" s="763"/>
      <c r="K8" s="764"/>
      <c r="L8" s="384"/>
      <c r="M8" s="385"/>
      <c r="AI8" s="387" t="s">
        <v>241</v>
      </c>
      <c r="AJ8" s="388" t="s">
        <v>14</v>
      </c>
      <c r="AK8" s="389" t="s">
        <v>242</v>
      </c>
      <c r="AL8" s="390" t="s">
        <v>243</v>
      </c>
      <c r="AM8" s="391"/>
      <c r="AN8" s="391" t="s">
        <v>244</v>
      </c>
    </row>
    <row r="9" spans="1:40" ht="24" customHeight="1">
      <c r="A9" s="381"/>
      <c r="B9" s="382"/>
      <c r="C9" s="383"/>
      <c r="D9" s="383"/>
      <c r="E9" s="383"/>
      <c r="F9" s="383"/>
      <c r="G9" s="383"/>
      <c r="H9" s="762" t="s">
        <v>205</v>
      </c>
      <c r="I9" s="763"/>
      <c r="J9" s="763"/>
      <c r="K9" s="764"/>
      <c r="L9" s="384"/>
      <c r="M9" s="385"/>
      <c r="N9" s="392">
        <f>SUM(O9:AB9)</f>
        <v>2754.9592476500002</v>
      </c>
      <c r="O9" s="393">
        <v>63.05</v>
      </c>
      <c r="P9" s="393">
        <v>363.36509999999998</v>
      </c>
      <c r="Q9" s="393">
        <v>157.61449099999999</v>
      </c>
      <c r="R9" s="393">
        <v>122.296868</v>
      </c>
      <c r="S9" s="393"/>
      <c r="T9" s="393">
        <v>687.09411299999999</v>
      </c>
      <c r="U9" s="394">
        <v>432.493359</v>
      </c>
      <c r="V9" s="393"/>
      <c r="W9" s="393">
        <v>567.82270000000005</v>
      </c>
      <c r="X9" s="393">
        <v>128.228759</v>
      </c>
      <c r="Y9" s="393">
        <v>39.988</v>
      </c>
      <c r="AA9" s="326">
        <v>103.4341</v>
      </c>
      <c r="AB9" s="393">
        <v>89.571757649999995</v>
      </c>
      <c r="AC9" s="368">
        <f>SUM(O9:AB9)</f>
        <v>2754.9592476500002</v>
      </c>
      <c r="AE9" s="368">
        <f>AC9</f>
        <v>2754.9592476500002</v>
      </c>
      <c r="AI9" s="395">
        <v>1</v>
      </c>
      <c r="AJ9" s="396" t="s">
        <v>245</v>
      </c>
      <c r="AK9" s="397">
        <v>172677500</v>
      </c>
      <c r="AL9" s="398">
        <v>13.36</v>
      </c>
      <c r="AM9" s="399" t="e">
        <f t="shared" ref="AM9:AM20" si="0">AL9*AK9/$C$13</f>
        <v>#DIV/0!</v>
      </c>
      <c r="AN9" s="399">
        <f>AL9*AK9/AK9</f>
        <v>13.36</v>
      </c>
    </row>
    <row r="10" spans="1:40" ht="24" customHeight="1">
      <c r="A10" s="381"/>
      <c r="B10" s="382"/>
      <c r="C10" s="383"/>
      <c r="D10" s="383"/>
      <c r="E10" s="383"/>
      <c r="F10" s="383"/>
      <c r="G10" s="383"/>
      <c r="I10" s="400" t="s">
        <v>54</v>
      </c>
      <c r="J10" s="472">
        <v>84.26</v>
      </c>
      <c r="K10" s="562" t="s">
        <v>51</v>
      </c>
      <c r="L10" s="384"/>
      <c r="M10" s="385"/>
      <c r="N10" s="368">
        <f>(O10*O9+P10*P9+Q10*Q9+R10*R9+S10*S9+T10*T9+U10*U9+V10*V9+W10*W9+X10*X9+Y10*Y9+Z10*Z9+AA10*AA9+AB10*AB9)/N9</f>
        <v>84.754654906071266</v>
      </c>
      <c r="O10" s="393">
        <v>100</v>
      </c>
      <c r="P10" s="393">
        <v>63.46</v>
      </c>
      <c r="Q10" s="393">
        <v>51.39</v>
      </c>
      <c r="R10" s="393">
        <v>100</v>
      </c>
      <c r="S10" s="393"/>
      <c r="T10" s="393">
        <v>100</v>
      </c>
      <c r="U10" s="393">
        <v>98.85</v>
      </c>
      <c r="V10" s="393"/>
      <c r="W10" s="401">
        <v>77.599999999999994</v>
      </c>
      <c r="X10" s="393">
        <v>66.87</v>
      </c>
      <c r="Y10" s="393">
        <v>100</v>
      </c>
      <c r="AA10" s="393">
        <v>71.75</v>
      </c>
      <c r="AB10" s="393">
        <v>92.47</v>
      </c>
      <c r="AC10" s="402">
        <f>J10</f>
        <v>84.26</v>
      </c>
      <c r="AE10" s="402">
        <f>J10</f>
        <v>84.26</v>
      </c>
      <c r="AI10" s="395">
        <v>2</v>
      </c>
      <c r="AJ10" s="396" t="s">
        <v>246</v>
      </c>
      <c r="AK10" s="397">
        <v>525283600</v>
      </c>
      <c r="AL10" s="398">
        <v>35.229999999999997</v>
      </c>
      <c r="AM10" s="399" t="e">
        <f t="shared" si="0"/>
        <v>#DIV/0!</v>
      </c>
      <c r="AN10" s="399">
        <f t="shared" ref="AN10:AN18" si="1">(AL10*AK10/AK10)</f>
        <v>35.229999999999997</v>
      </c>
    </row>
    <row r="11" spans="1:40" ht="24" customHeight="1">
      <c r="A11" s="507"/>
      <c r="B11" s="508"/>
      <c r="C11" s="509"/>
      <c r="D11" s="509"/>
      <c r="E11" s="509"/>
      <c r="F11" s="509"/>
      <c r="G11" s="509"/>
      <c r="H11" s="768"/>
      <c r="I11" s="769"/>
      <c r="J11" s="769"/>
      <c r="K11" s="770"/>
      <c r="L11" s="510"/>
      <c r="M11" s="376"/>
      <c r="AE11" s="368" t="s">
        <v>20</v>
      </c>
      <c r="AI11" s="395"/>
      <c r="AJ11" s="396" t="s">
        <v>247</v>
      </c>
      <c r="AK11" s="397">
        <v>63771100</v>
      </c>
      <c r="AL11" s="398">
        <v>0.28000000000000003</v>
      </c>
      <c r="AM11" s="399" t="e">
        <f t="shared" si="0"/>
        <v>#DIV/0!</v>
      </c>
      <c r="AN11" s="399"/>
    </row>
    <row r="12" spans="1:40" ht="24" customHeight="1">
      <c r="A12" s="379" t="s">
        <v>145</v>
      </c>
      <c r="B12" s="302">
        <v>16.36</v>
      </c>
      <c r="C12" s="506">
        <v>0.69</v>
      </c>
      <c r="D12" s="506">
        <v>0.72</v>
      </c>
      <c r="E12" s="506">
        <v>0.75</v>
      </c>
      <c r="F12" s="506">
        <v>0.78</v>
      </c>
      <c r="G12" s="506">
        <v>0.81</v>
      </c>
      <c r="H12" s="739" t="s">
        <v>206</v>
      </c>
      <c r="I12" s="739"/>
      <c r="J12" s="739"/>
      <c r="K12" s="740"/>
      <c r="L12" s="303">
        <v>1</v>
      </c>
      <c r="M12" s="380">
        <f>IF(L12=0,"-",ROUND(L12*B12/B$59,4))</f>
        <v>0.22489999999999999</v>
      </c>
      <c r="P12" s="368" t="s">
        <v>177</v>
      </c>
      <c r="Q12" s="368">
        <v>88227925</v>
      </c>
      <c r="R12" s="368">
        <v>454314777</v>
      </c>
      <c r="S12" s="368">
        <v>163703662</v>
      </c>
      <c r="T12" s="368">
        <v>340069114</v>
      </c>
      <c r="V12" s="368">
        <v>145609485</v>
      </c>
      <c r="W12" s="368">
        <v>376474997</v>
      </c>
      <c r="X12" s="368">
        <v>154664423</v>
      </c>
      <c r="Y12" s="368">
        <v>364453100</v>
      </c>
      <c r="Z12" s="368">
        <v>301496841</v>
      </c>
      <c r="AA12" s="368">
        <v>117859601</v>
      </c>
      <c r="AB12" s="368">
        <v>103922683</v>
      </c>
      <c r="AC12" s="368">
        <v>110709100</v>
      </c>
      <c r="AD12" s="368">
        <v>396724840</v>
      </c>
      <c r="AE12" s="368">
        <f>Q12+R12+S12+T12+V12+W12+X12+Y12+Z12+AA12+AB12+AC12+AD12</f>
        <v>3118230548</v>
      </c>
      <c r="AI12" s="395"/>
      <c r="AJ12" s="396" t="s">
        <v>248</v>
      </c>
      <c r="AK12" s="397">
        <v>85121200</v>
      </c>
      <c r="AL12" s="398">
        <v>2.0499999999999998</v>
      </c>
      <c r="AM12" s="399" t="e">
        <f t="shared" si="0"/>
        <v>#DIV/0!</v>
      </c>
      <c r="AN12" s="399"/>
    </row>
    <row r="13" spans="1:40" ht="24" customHeight="1">
      <c r="A13" s="381" t="s">
        <v>21</v>
      </c>
      <c r="B13" s="382"/>
      <c r="C13" s="383"/>
      <c r="D13" s="383"/>
      <c r="E13" s="383"/>
      <c r="F13" s="383"/>
      <c r="G13" s="383"/>
      <c r="H13" s="762" t="s">
        <v>207</v>
      </c>
      <c r="I13" s="763"/>
      <c r="J13" s="763"/>
      <c r="K13" s="764"/>
      <c r="L13" s="384"/>
      <c r="M13" s="385"/>
      <c r="P13" s="368" t="s">
        <v>179</v>
      </c>
      <c r="Q13" s="368">
        <v>62767727</v>
      </c>
      <c r="R13" s="368">
        <v>213672936</v>
      </c>
      <c r="S13" s="368">
        <v>25795924</v>
      </c>
      <c r="T13" s="368">
        <v>114556854</v>
      </c>
      <c r="V13" s="368">
        <v>128932639</v>
      </c>
      <c r="W13" s="368">
        <v>336587666</v>
      </c>
      <c r="X13" s="368">
        <v>52373847</v>
      </c>
      <c r="Y13" s="368">
        <v>90762837</v>
      </c>
      <c r="Z13" s="368">
        <v>241819557</v>
      </c>
      <c r="AA13" s="368">
        <v>53872593</v>
      </c>
      <c r="AB13" s="368">
        <v>20156387</v>
      </c>
      <c r="AC13" s="368">
        <v>73919342</v>
      </c>
      <c r="AD13" s="368">
        <v>64957443</v>
      </c>
      <c r="AE13" s="403">
        <f>Q13+R13+S13+T13+V13+W13+X13+Y13+Z13+AA13+AB13+AC13+AD13</f>
        <v>1480175752</v>
      </c>
      <c r="AI13" s="395"/>
      <c r="AJ13" s="396" t="s">
        <v>249</v>
      </c>
      <c r="AK13" s="397">
        <v>115875000</v>
      </c>
      <c r="AL13" s="398">
        <v>0</v>
      </c>
      <c r="AM13" s="399" t="e">
        <f t="shared" si="0"/>
        <v>#DIV/0!</v>
      </c>
      <c r="AN13" s="399"/>
    </row>
    <row r="14" spans="1:40" ht="24" customHeight="1">
      <c r="A14" s="381"/>
      <c r="B14" s="382"/>
      <c r="C14" s="383"/>
      <c r="D14" s="383"/>
      <c r="E14" s="383"/>
      <c r="F14" s="383"/>
      <c r="G14" s="383"/>
      <c r="H14" s="762" t="s">
        <v>299</v>
      </c>
      <c r="I14" s="763"/>
      <c r="J14" s="763"/>
      <c r="K14" s="764"/>
      <c r="L14" s="384"/>
      <c r="M14" s="385"/>
      <c r="P14" s="368" t="s">
        <v>194</v>
      </c>
      <c r="Q14" s="368">
        <v>19.71</v>
      </c>
      <c r="R14" s="368">
        <v>38.619999999999997</v>
      </c>
      <c r="S14" s="368">
        <v>5.8</v>
      </c>
      <c r="T14" s="368">
        <v>21.95</v>
      </c>
      <c r="AE14" s="404">
        <f>(AE13/AE12)*100</f>
        <v>47.468451393030229</v>
      </c>
      <c r="AI14" s="395">
        <v>4</v>
      </c>
      <c r="AJ14" s="396" t="s">
        <v>250</v>
      </c>
      <c r="AK14" s="397">
        <v>1039701600</v>
      </c>
      <c r="AL14" s="398">
        <v>5.62</v>
      </c>
      <c r="AM14" s="399" t="e">
        <f t="shared" si="0"/>
        <v>#DIV/0!</v>
      </c>
      <c r="AN14" s="399">
        <f t="shared" si="1"/>
        <v>5.62</v>
      </c>
    </row>
    <row r="15" spans="1:40" ht="24" customHeight="1">
      <c r="A15" s="381"/>
      <c r="B15" s="382"/>
      <c r="C15" s="383"/>
      <c r="D15" s="383"/>
      <c r="E15" s="383"/>
      <c r="F15" s="383"/>
      <c r="G15" s="383"/>
      <c r="H15" s="565"/>
      <c r="I15" s="400" t="s">
        <v>199</v>
      </c>
      <c r="J15" s="472">
        <v>52.83</v>
      </c>
      <c r="K15" s="562" t="s">
        <v>51</v>
      </c>
      <c r="L15" s="384"/>
      <c r="M15" s="385"/>
      <c r="Q15" s="368">
        <f>(Q12*Q14)/AE12</f>
        <v>0.55767922704283635</v>
      </c>
      <c r="R15" s="368">
        <f>(R12*R14)/AE12</f>
        <v>5.6267926369310901</v>
      </c>
      <c r="S15" s="368">
        <f>(S12*S14)/AE12</f>
        <v>0.3044935982071586</v>
      </c>
      <c r="T15" s="368">
        <f>(T12*T14)/AE12</f>
        <v>2.3938310325026038</v>
      </c>
      <c r="V15" s="368">
        <f>(V12*V14)/AE12</f>
        <v>0</v>
      </c>
      <c r="W15" s="368">
        <f>(W12*W14)/AE12</f>
        <v>0</v>
      </c>
      <c r="X15" s="368">
        <f>(X12*X14)/AE12</f>
        <v>0</v>
      </c>
      <c r="Y15" s="368">
        <f>(Y12*Y14)/AE12</f>
        <v>0</v>
      </c>
      <c r="Z15" s="368">
        <f>(Z12*Z14)/AE12</f>
        <v>0</v>
      </c>
      <c r="AA15" s="368">
        <f>(AA12*AA14)/AE12</f>
        <v>0</v>
      </c>
      <c r="AB15" s="368">
        <f>(AB12*AB14)/AE12</f>
        <v>0</v>
      </c>
      <c r="AC15" s="368">
        <f>(AC12*AC14)/AE12</f>
        <v>0</v>
      </c>
      <c r="AD15" s="368">
        <f>(AD12*AD14)/AE12</f>
        <v>0</v>
      </c>
      <c r="AE15" s="368">
        <f>(Q15+R15+S15+T15+V15+W15+X15+Y15+Z15+AA15+AB15+AC15+AD15)/AE12</f>
        <v>2.8486657281903096E-9</v>
      </c>
      <c r="AI15" s="395">
        <v>5</v>
      </c>
      <c r="AJ15" s="396" t="s">
        <v>251</v>
      </c>
      <c r="AK15" s="397">
        <v>636679600</v>
      </c>
      <c r="AL15" s="398">
        <v>13.07</v>
      </c>
      <c r="AM15" s="399" t="e">
        <f t="shared" si="0"/>
        <v>#DIV/0!</v>
      </c>
      <c r="AN15" s="399">
        <f t="shared" si="1"/>
        <v>13.07</v>
      </c>
    </row>
    <row r="16" spans="1:40" ht="24" customHeight="1">
      <c r="A16" s="507"/>
      <c r="B16" s="508"/>
      <c r="C16" s="509"/>
      <c r="D16" s="509"/>
      <c r="E16" s="509"/>
      <c r="F16" s="509"/>
      <c r="G16" s="509"/>
      <c r="H16" s="511"/>
      <c r="I16" s="512"/>
      <c r="J16" s="513"/>
      <c r="K16" s="514"/>
      <c r="L16" s="510"/>
      <c r="M16" s="376"/>
      <c r="S16" s="368">
        <v>278676</v>
      </c>
      <c r="AI16" s="395">
        <v>8</v>
      </c>
      <c r="AJ16" s="396" t="s">
        <v>252</v>
      </c>
      <c r="AK16" s="397">
        <v>168866326</v>
      </c>
      <c r="AL16" s="398">
        <v>25.53</v>
      </c>
      <c r="AM16" s="399" t="e">
        <f t="shared" si="0"/>
        <v>#DIV/0!</v>
      </c>
      <c r="AN16" s="399">
        <f t="shared" si="1"/>
        <v>25.529999999999998</v>
      </c>
    </row>
    <row r="17" spans="1:40" ht="24" customHeight="1">
      <c r="A17" s="379" t="s">
        <v>147</v>
      </c>
      <c r="B17" s="302">
        <v>5.45</v>
      </c>
      <c r="C17" s="405">
        <v>0.96</v>
      </c>
      <c r="D17" s="405">
        <v>0.97</v>
      </c>
      <c r="E17" s="405">
        <v>0.98</v>
      </c>
      <c r="F17" s="405">
        <v>0.99</v>
      </c>
      <c r="G17" s="405">
        <v>1</v>
      </c>
      <c r="H17" s="738" t="s">
        <v>300</v>
      </c>
      <c r="I17" s="739"/>
      <c r="J17" s="739"/>
      <c r="K17" s="740"/>
      <c r="L17" s="303">
        <v>1</v>
      </c>
      <c r="M17" s="380">
        <f>IF(L17=0,"-",ROUND(L17*B17/B$59,4))</f>
        <v>7.4899999999999994E-2</v>
      </c>
      <c r="Q17" s="368" t="s">
        <v>164</v>
      </c>
      <c r="R17" s="368" t="s">
        <v>165</v>
      </c>
      <c r="S17" s="368" t="s">
        <v>166</v>
      </c>
      <c r="T17" s="368" t="s">
        <v>167</v>
      </c>
      <c r="U17" s="368" t="s">
        <v>168</v>
      </c>
      <c r="V17" s="368" t="s">
        <v>169</v>
      </c>
      <c r="W17" s="368" t="s">
        <v>170</v>
      </c>
      <c r="X17" s="368" t="s">
        <v>171</v>
      </c>
      <c r="Y17" s="368" t="s">
        <v>172</v>
      </c>
      <c r="Z17" s="368" t="s">
        <v>173</v>
      </c>
      <c r="AA17" s="368" t="s">
        <v>174</v>
      </c>
      <c r="AB17" s="368" t="s">
        <v>175</v>
      </c>
      <c r="AC17" s="368" t="s">
        <v>176</v>
      </c>
      <c r="AD17" s="368" t="s">
        <v>178</v>
      </c>
      <c r="AE17" s="368" t="s">
        <v>20</v>
      </c>
      <c r="AI17" s="395"/>
      <c r="AJ17" s="396" t="s">
        <v>258</v>
      </c>
      <c r="AK17" s="397">
        <v>72151000</v>
      </c>
      <c r="AL17" s="398">
        <v>20.47</v>
      </c>
      <c r="AM17" s="399" t="e">
        <f t="shared" si="0"/>
        <v>#DIV/0!</v>
      </c>
      <c r="AN17" s="399"/>
    </row>
    <row r="18" spans="1:40" ht="24" customHeight="1">
      <c r="A18" s="381" t="s">
        <v>26</v>
      </c>
      <c r="B18" s="382"/>
      <c r="C18" s="383"/>
      <c r="D18" s="383"/>
      <c r="E18" s="383"/>
      <c r="F18" s="383"/>
      <c r="G18" s="383"/>
      <c r="H18" s="765" t="s">
        <v>301</v>
      </c>
      <c r="I18" s="766"/>
      <c r="J18" s="766"/>
      <c r="K18" s="767"/>
      <c r="L18" s="384"/>
      <c r="M18" s="385"/>
      <c r="P18" s="368" t="s">
        <v>179</v>
      </c>
      <c r="Q18" s="368">
        <v>0</v>
      </c>
      <c r="R18" s="368" t="e">
        <f>R20+#REF!</f>
        <v>#REF!</v>
      </c>
      <c r="S18" s="368" t="e">
        <f>S20+#REF!+S21+#REF!+#REF!+#REF!+#REF!+#REF!</f>
        <v>#REF!</v>
      </c>
      <c r="T18" s="368">
        <v>15621046</v>
      </c>
      <c r="W18" s="368" t="e">
        <f>W20+#REF!</f>
        <v>#REF!</v>
      </c>
      <c r="X18" s="368" t="e">
        <f>X20+#REF!</f>
        <v>#REF!</v>
      </c>
      <c r="Y18" s="368">
        <v>3065219</v>
      </c>
      <c r="Z18" s="368" t="e">
        <f>Z20+#REF!</f>
        <v>#REF!</v>
      </c>
      <c r="AA18" s="368">
        <v>5762411</v>
      </c>
      <c r="AB18" s="368">
        <v>15507983</v>
      </c>
      <c r="AD18" s="368" t="e">
        <f>AD20+#REF!</f>
        <v>#REF!</v>
      </c>
      <c r="AE18" s="368" t="e">
        <f>Q18+R18+S18+T18+W18+X18+Y18+AA18+AB18+AD18</f>
        <v>#REF!</v>
      </c>
      <c r="AF18" s="368" t="e">
        <f>AE18/AE19*100</f>
        <v>#REF!</v>
      </c>
      <c r="AG18" s="368" t="e">
        <f>R18+T18+W18+X18+Y18+Z18+AA18+AB18+AD18</f>
        <v>#REF!</v>
      </c>
      <c r="AH18" s="368" t="e">
        <f>AG18/AG19*100</f>
        <v>#REF!</v>
      </c>
      <c r="AI18" s="395">
        <v>12</v>
      </c>
      <c r="AJ18" s="396" t="s">
        <v>259</v>
      </c>
      <c r="AK18" s="397">
        <v>232129108</v>
      </c>
      <c r="AL18" s="398">
        <v>8.2200000000000006</v>
      </c>
      <c r="AM18" s="399" t="e">
        <f t="shared" si="0"/>
        <v>#DIV/0!</v>
      </c>
      <c r="AN18" s="399">
        <f t="shared" si="1"/>
        <v>8.2200000000000006</v>
      </c>
    </row>
    <row r="19" spans="1:40" ht="24" customHeight="1">
      <c r="A19" s="381"/>
      <c r="B19" s="382"/>
      <c r="C19" s="383"/>
      <c r="D19" s="383"/>
      <c r="E19" s="383"/>
      <c r="F19" s="383"/>
      <c r="G19" s="383"/>
      <c r="H19" s="765" t="s">
        <v>302</v>
      </c>
      <c r="I19" s="766"/>
      <c r="J19" s="766"/>
      <c r="K19" s="767"/>
      <c r="L19" s="384"/>
      <c r="M19" s="385"/>
      <c r="P19" s="368" t="s">
        <v>177</v>
      </c>
      <c r="Q19" s="368">
        <v>0</v>
      </c>
      <c r="R19" s="368" t="e">
        <f>#REF!+#REF!</f>
        <v>#REF!</v>
      </c>
      <c r="S19" s="368" t="e">
        <f>#REF!+#REF!+#REF!+#REF!+#REF!+S16+#REF!+#REF!</f>
        <v>#REF!</v>
      </c>
      <c r="T19" s="368">
        <v>31415454</v>
      </c>
      <c r="W19" s="368" t="e">
        <f>#REF!+#REF!</f>
        <v>#REF!</v>
      </c>
      <c r="X19" s="368" t="e">
        <f>#REF!+#REF!</f>
        <v>#REF!</v>
      </c>
      <c r="Y19" s="368">
        <v>3065219</v>
      </c>
      <c r="Z19" s="368" t="e">
        <f>#REF!+#REF!</f>
        <v>#REF!</v>
      </c>
      <c r="AA19" s="368">
        <v>5836386</v>
      </c>
      <c r="AB19" s="368">
        <v>15507983</v>
      </c>
      <c r="AD19" s="368" t="e">
        <f>#REF!+#REF!</f>
        <v>#REF!</v>
      </c>
      <c r="AE19" s="368" t="e">
        <f>Q19+R19+S19+T19+W19+X19+Y19+Z19+AA19+AB19+AD19</f>
        <v>#REF!</v>
      </c>
      <c r="AG19" s="368" t="e">
        <f>R19+T19+W19+X19+Y19+Z19+AA19+AB19</f>
        <v>#REF!</v>
      </c>
      <c r="AI19" s="395">
        <v>13</v>
      </c>
      <c r="AJ19" s="396" t="s">
        <v>260</v>
      </c>
      <c r="AK19" s="397">
        <v>75897000</v>
      </c>
      <c r="AL19" s="398">
        <v>11.23</v>
      </c>
      <c r="AM19" s="399" t="e">
        <f t="shared" si="0"/>
        <v>#DIV/0!</v>
      </c>
      <c r="AN19" s="399" t="e">
        <f>(AL19*AK19/(AK19+AK20+#REF!))+(AL20*AK20/(AK19+AK20+#REF!))+(#REF!*#REF!/(AK19+AK20+#REF!))</f>
        <v>#REF!</v>
      </c>
    </row>
    <row r="20" spans="1:40" ht="24" customHeight="1">
      <c r="A20" s="381"/>
      <c r="B20" s="382"/>
      <c r="C20" s="383"/>
      <c r="D20" s="383"/>
      <c r="E20" s="383"/>
      <c r="F20" s="383"/>
      <c r="G20" s="406"/>
      <c r="H20" s="560"/>
      <c r="I20" s="400" t="s">
        <v>56</v>
      </c>
      <c r="J20" s="472">
        <v>0</v>
      </c>
      <c r="K20" s="562" t="s">
        <v>51</v>
      </c>
      <c r="L20" s="384"/>
      <c r="M20" s="385"/>
      <c r="S20" s="368">
        <v>6461040</v>
      </c>
      <c r="W20" s="368">
        <v>304044</v>
      </c>
      <c r="X20" s="368">
        <v>12441411</v>
      </c>
      <c r="Z20" s="368">
        <v>11141383</v>
      </c>
      <c r="AD20" s="368">
        <v>16191016</v>
      </c>
      <c r="AI20" s="395"/>
      <c r="AJ20" s="396" t="s">
        <v>262</v>
      </c>
      <c r="AK20" s="397">
        <v>9309500</v>
      </c>
      <c r="AL20" s="398">
        <v>46.38</v>
      </c>
      <c r="AM20" s="399" t="e">
        <f t="shared" si="0"/>
        <v>#DIV/0!</v>
      </c>
      <c r="AN20" s="399"/>
    </row>
    <row r="21" spans="1:40" ht="24" customHeight="1">
      <c r="A21" s="507"/>
      <c r="B21" s="508"/>
      <c r="C21" s="509"/>
      <c r="D21" s="509"/>
      <c r="E21" s="509"/>
      <c r="F21" s="509"/>
      <c r="G21" s="509"/>
      <c r="H21" s="511"/>
      <c r="I21" s="519"/>
      <c r="J21" s="519"/>
      <c r="K21" s="520"/>
      <c r="L21" s="510"/>
      <c r="M21" s="376"/>
      <c r="S21" s="368">
        <v>673915</v>
      </c>
      <c r="AI21" s="771" t="s">
        <v>20</v>
      </c>
      <c r="AJ21" s="772"/>
      <c r="AK21" s="408">
        <f>SUM(AK9:AK20)</f>
        <v>3197462534</v>
      </c>
      <c r="AL21" s="409" t="e">
        <f>SUM(AM9:AM20)</f>
        <v>#DIV/0!</v>
      </c>
      <c r="AM21" s="399"/>
      <c r="AN21" s="399"/>
    </row>
    <row r="22" spans="1:40" ht="24" customHeight="1">
      <c r="A22" s="379" t="s">
        <v>160</v>
      </c>
      <c r="B22" s="302">
        <v>5.45</v>
      </c>
      <c r="C22" s="405">
        <v>0.5</v>
      </c>
      <c r="D22" s="405">
        <v>0.75</v>
      </c>
      <c r="E22" s="405">
        <v>1</v>
      </c>
      <c r="F22" s="405">
        <v>1</v>
      </c>
      <c r="G22" s="405">
        <v>1</v>
      </c>
      <c r="H22" s="703" t="s">
        <v>309</v>
      </c>
      <c r="I22" s="704"/>
      <c r="J22" s="704"/>
      <c r="K22" s="705"/>
      <c r="L22" s="303">
        <v>1</v>
      </c>
      <c r="M22" s="380">
        <f>IF(L22=0,"-",ROUND(L22*B22/B$59,4))</f>
        <v>7.4899999999999994E-2</v>
      </c>
      <c r="AI22" s="395">
        <v>9</v>
      </c>
      <c r="AJ22" s="396" t="s">
        <v>271</v>
      </c>
      <c r="AK22" s="397">
        <v>300000</v>
      </c>
      <c r="AL22" s="410">
        <v>0</v>
      </c>
      <c r="AM22" s="411"/>
      <c r="AN22" s="411">
        <f t="shared" ref="AN22:AN32" si="2">AL22*100/AK22</f>
        <v>0</v>
      </c>
    </row>
    <row r="23" spans="1:40" ht="24" customHeight="1">
      <c r="A23" s="381" t="s">
        <v>161</v>
      </c>
      <c r="B23" s="515"/>
      <c r="C23" s="516"/>
      <c r="D23" s="516"/>
      <c r="E23" s="516"/>
      <c r="F23" s="516" t="s">
        <v>70</v>
      </c>
      <c r="G23" s="516" t="s">
        <v>70</v>
      </c>
      <c r="H23" s="701" t="s">
        <v>213</v>
      </c>
      <c r="I23" s="701"/>
      <c r="J23" s="701"/>
      <c r="K23" s="702"/>
      <c r="L23" s="384"/>
      <c r="M23" s="385"/>
      <c r="AI23" s="395">
        <v>11</v>
      </c>
      <c r="AJ23" s="396" t="s">
        <v>273</v>
      </c>
      <c r="AK23" s="397">
        <v>500000</v>
      </c>
      <c r="AL23" s="410">
        <v>62536.11</v>
      </c>
      <c r="AM23" s="411"/>
      <c r="AN23" s="411">
        <f t="shared" si="2"/>
        <v>12.507222000000001</v>
      </c>
    </row>
    <row r="24" spans="1:40" ht="24" customHeight="1">
      <c r="A24" s="452" t="s">
        <v>310</v>
      </c>
      <c r="B24" s="515"/>
      <c r="C24" s="516"/>
      <c r="D24" s="516"/>
      <c r="E24" s="516"/>
      <c r="F24" s="516" t="s">
        <v>138</v>
      </c>
      <c r="G24" s="516" t="s">
        <v>139</v>
      </c>
      <c r="H24" s="565"/>
      <c r="I24" s="400" t="s">
        <v>56</v>
      </c>
      <c r="J24" s="412" t="s">
        <v>11</v>
      </c>
      <c r="K24" s="562" t="s">
        <v>51</v>
      </c>
      <c r="L24" s="384"/>
      <c r="M24" s="385"/>
      <c r="AI24" s="395"/>
      <c r="AJ24" s="396" t="s">
        <v>275</v>
      </c>
      <c r="AK24" s="397">
        <v>300000</v>
      </c>
      <c r="AL24" s="410">
        <v>57903.85</v>
      </c>
      <c r="AM24" s="411"/>
      <c r="AN24" s="411">
        <f t="shared" si="2"/>
        <v>19.301283333333334</v>
      </c>
    </row>
    <row r="25" spans="1:40" ht="24" customHeight="1">
      <c r="A25" s="507"/>
      <c r="B25" s="508"/>
      <c r="C25" s="509"/>
      <c r="D25" s="509"/>
      <c r="E25" s="509"/>
      <c r="F25" s="509"/>
      <c r="G25" s="509"/>
      <c r="H25" s="773"/>
      <c r="I25" s="774"/>
      <c r="J25" s="774"/>
      <c r="K25" s="775"/>
      <c r="L25" s="510"/>
      <c r="M25" s="376"/>
      <c r="AI25" s="395"/>
      <c r="AJ25" s="396" t="s">
        <v>276</v>
      </c>
      <c r="AK25" s="397">
        <v>300000</v>
      </c>
      <c r="AL25" s="410">
        <v>94848.7</v>
      </c>
      <c r="AM25" s="411"/>
      <c r="AN25" s="411">
        <f t="shared" si="2"/>
        <v>31.616233333333334</v>
      </c>
    </row>
    <row r="26" spans="1:40" ht="24" customHeight="1">
      <c r="A26" s="379" t="s">
        <v>149</v>
      </c>
      <c r="B26" s="302">
        <v>16.36</v>
      </c>
      <c r="C26" s="405">
        <v>0.75</v>
      </c>
      <c r="D26" s="405">
        <v>0.78</v>
      </c>
      <c r="E26" s="405">
        <v>0.81</v>
      </c>
      <c r="F26" s="405">
        <v>0.84</v>
      </c>
      <c r="G26" s="405">
        <v>0.87</v>
      </c>
      <c r="H26" s="738" t="s">
        <v>303</v>
      </c>
      <c r="I26" s="739"/>
      <c r="J26" s="739"/>
      <c r="K26" s="740"/>
      <c r="L26" s="303">
        <v>5</v>
      </c>
      <c r="M26" s="380">
        <f>IF(L26=0,"-",ROUND(L26*B26/B$59,4))</f>
        <v>1.1246</v>
      </c>
      <c r="AI26" s="395">
        <v>13</v>
      </c>
      <c r="AJ26" s="396" t="s">
        <v>281</v>
      </c>
      <c r="AK26" s="397">
        <v>300000</v>
      </c>
      <c r="AL26" s="410">
        <v>205897.2</v>
      </c>
      <c r="AM26" s="411"/>
      <c r="AN26" s="411">
        <f t="shared" si="2"/>
        <v>68.632400000000004</v>
      </c>
    </row>
    <row r="27" spans="1:40" ht="24" customHeight="1">
      <c r="A27" s="381" t="s">
        <v>137</v>
      </c>
      <c r="B27" s="382"/>
      <c r="C27" s="383"/>
      <c r="D27" s="383"/>
      <c r="E27" s="383"/>
      <c r="F27" s="383"/>
      <c r="G27" s="383"/>
      <c r="H27" s="762" t="s">
        <v>213</v>
      </c>
      <c r="I27" s="763"/>
      <c r="J27" s="763"/>
      <c r="K27" s="764"/>
      <c r="L27" s="384"/>
      <c r="M27" s="385"/>
      <c r="AI27" s="395"/>
      <c r="AJ27" s="396" t="s">
        <v>282</v>
      </c>
      <c r="AK27" s="397">
        <v>300000</v>
      </c>
      <c r="AL27" s="410">
        <v>100339.9</v>
      </c>
      <c r="AM27" s="411"/>
      <c r="AN27" s="411">
        <f t="shared" si="2"/>
        <v>33.446633333333331</v>
      </c>
    </row>
    <row r="28" spans="1:40" ht="24" customHeight="1">
      <c r="A28" s="381"/>
      <c r="B28" s="382"/>
      <c r="C28" s="383"/>
      <c r="D28" s="383"/>
      <c r="E28" s="383"/>
      <c r="F28" s="383"/>
      <c r="G28" s="383"/>
      <c r="H28" s="589"/>
      <c r="I28" s="589" t="s">
        <v>87</v>
      </c>
      <c r="J28" s="590">
        <v>169677500</v>
      </c>
      <c r="K28" s="562" t="s">
        <v>163</v>
      </c>
      <c r="L28" s="384"/>
      <c r="M28" s="385"/>
      <c r="AI28" s="395"/>
      <c r="AJ28" s="396" t="s">
        <v>283</v>
      </c>
      <c r="AK28" s="397">
        <v>300000</v>
      </c>
      <c r="AL28" s="410">
        <v>57000</v>
      </c>
      <c r="AM28" s="411"/>
      <c r="AN28" s="411">
        <f t="shared" si="2"/>
        <v>19</v>
      </c>
    </row>
    <row r="29" spans="1:40" ht="24" customHeight="1">
      <c r="A29" s="381"/>
      <c r="B29" s="382"/>
      <c r="C29" s="383"/>
      <c r="D29" s="383"/>
      <c r="E29" s="383"/>
      <c r="F29" s="383"/>
      <c r="G29" s="383"/>
      <c r="H29" s="589"/>
      <c r="I29" s="400" t="s">
        <v>195</v>
      </c>
      <c r="J29" s="591">
        <v>140110180</v>
      </c>
      <c r="K29" s="562" t="s">
        <v>163</v>
      </c>
      <c r="L29" s="384"/>
      <c r="M29" s="385"/>
      <c r="AI29" s="395"/>
      <c r="AJ29" s="396" t="s">
        <v>284</v>
      </c>
      <c r="AK29" s="397">
        <v>300000</v>
      </c>
      <c r="AL29" s="410">
        <v>54914.85</v>
      </c>
      <c r="AM29" s="411"/>
      <c r="AN29" s="411">
        <f t="shared" si="2"/>
        <v>18.304950000000002</v>
      </c>
    </row>
    <row r="30" spans="1:40" ht="24" customHeight="1">
      <c r="A30" s="381"/>
      <c r="B30" s="382"/>
      <c r="C30" s="383"/>
      <c r="D30" s="383"/>
      <c r="E30" s="383"/>
      <c r="F30" s="383"/>
      <c r="G30" s="383"/>
      <c r="H30" s="589"/>
      <c r="I30" s="400" t="s">
        <v>196</v>
      </c>
      <c r="J30" s="472">
        <v>92.29</v>
      </c>
      <c r="K30" s="562" t="s">
        <v>51</v>
      </c>
      <c r="L30" s="384"/>
      <c r="M30" s="385"/>
      <c r="AI30" s="395"/>
      <c r="AJ30" s="396" t="s">
        <v>285</v>
      </c>
      <c r="AK30" s="397">
        <v>300000</v>
      </c>
      <c r="AL30" s="410">
        <v>66279.649999999994</v>
      </c>
      <c r="AM30" s="411"/>
      <c r="AN30" s="411">
        <f t="shared" si="2"/>
        <v>22.093216666666663</v>
      </c>
    </row>
    <row r="31" spans="1:40" ht="24" customHeight="1">
      <c r="A31" s="507"/>
      <c r="B31" s="508"/>
      <c r="C31" s="509"/>
      <c r="D31" s="509"/>
      <c r="E31" s="509"/>
      <c r="F31" s="509"/>
      <c r="G31" s="509"/>
      <c r="H31" s="592"/>
      <c r="I31" s="519"/>
      <c r="J31" s="593"/>
      <c r="K31" s="520"/>
      <c r="L31" s="510"/>
      <c r="M31" s="376"/>
      <c r="AI31" s="395"/>
      <c r="AJ31" s="396" t="s">
        <v>286</v>
      </c>
      <c r="AK31" s="397">
        <v>500000</v>
      </c>
      <c r="AL31" s="410">
        <v>147338.20000000001</v>
      </c>
      <c r="AM31" s="411"/>
      <c r="AN31" s="411">
        <f t="shared" si="2"/>
        <v>29.467640000000003</v>
      </c>
    </row>
    <row r="32" spans="1:40" ht="24" customHeight="1">
      <c r="A32" s="379" t="s">
        <v>150</v>
      </c>
      <c r="B32" s="302">
        <v>1.87</v>
      </c>
      <c r="C32" s="405">
        <v>0.6</v>
      </c>
      <c r="D32" s="405">
        <v>0.65</v>
      </c>
      <c r="E32" s="405">
        <v>0.7</v>
      </c>
      <c r="F32" s="405">
        <v>0.75</v>
      </c>
      <c r="G32" s="405">
        <v>0.8</v>
      </c>
      <c r="H32" s="738" t="s">
        <v>222</v>
      </c>
      <c r="I32" s="739"/>
      <c r="J32" s="739"/>
      <c r="K32" s="740"/>
      <c r="L32" s="303">
        <v>5</v>
      </c>
      <c r="M32" s="380">
        <f>IF(L32=0,"-",ROUND(L32*B32/B$59,4))</f>
        <v>0.1285</v>
      </c>
      <c r="AI32" s="395"/>
      <c r="AJ32" s="396" t="s">
        <v>277</v>
      </c>
      <c r="AK32" s="397">
        <v>500000</v>
      </c>
      <c r="AL32" s="410">
        <v>150000</v>
      </c>
      <c r="AM32" s="411"/>
      <c r="AN32" s="411">
        <f t="shared" si="2"/>
        <v>30</v>
      </c>
    </row>
    <row r="33" spans="1:40" ht="24" customHeight="1">
      <c r="A33" s="381" t="s">
        <v>151</v>
      </c>
      <c r="B33" s="515"/>
      <c r="C33" s="594"/>
      <c r="D33" s="594"/>
      <c r="E33" s="594"/>
      <c r="F33" s="594"/>
      <c r="G33" s="594"/>
      <c r="H33" s="762" t="s">
        <v>223</v>
      </c>
      <c r="I33" s="763"/>
      <c r="J33" s="763"/>
      <c r="K33" s="764"/>
      <c r="L33" s="384"/>
      <c r="M33" s="385"/>
      <c r="AI33" s="395"/>
      <c r="AJ33" s="396"/>
      <c r="AK33" s="397" t="e">
        <f>#REF!+#REF!+#REF!+#REF!+#REF!+AK22+AK23+AK24+#REF!+AK25+AK26+AK27+AK28+AK29+AK30+AK31+AK32</f>
        <v>#REF!</v>
      </c>
      <c r="AL33" s="410" t="e">
        <f>#REF!+#REF!+#REF!+#REF!+#REF!+AL22+AL23+AL24+#REF!+AL25+AL26+AL27+AL28+AL29+AL30+AL31+AL32</f>
        <v>#REF!</v>
      </c>
      <c r="AM33" s="411"/>
      <c r="AN33" s="411" t="e">
        <f>AL33*100/AK33</f>
        <v>#REF!</v>
      </c>
    </row>
    <row r="34" spans="1:40" ht="24" customHeight="1">
      <c r="A34" s="381" t="s">
        <v>91</v>
      </c>
      <c r="B34" s="382"/>
      <c r="C34" s="383"/>
      <c r="D34" s="383"/>
      <c r="E34" s="383"/>
      <c r="F34" s="383"/>
      <c r="G34" s="383"/>
      <c r="H34" s="762" t="s">
        <v>224</v>
      </c>
      <c r="I34" s="763"/>
      <c r="J34" s="763"/>
      <c r="K34" s="764"/>
      <c r="L34" s="384"/>
      <c r="M34" s="385"/>
    </row>
    <row r="35" spans="1:40" ht="24" customHeight="1">
      <c r="A35" s="381"/>
      <c r="B35" s="382"/>
      <c r="C35" s="383"/>
      <c r="D35" s="383"/>
      <c r="E35" s="383"/>
      <c r="F35" s="383"/>
      <c r="G35" s="383"/>
      <c r="H35" s="565"/>
      <c r="I35" s="400" t="s">
        <v>97</v>
      </c>
      <c r="J35" s="532">
        <v>271</v>
      </c>
      <c r="K35" s="566" t="s">
        <v>96</v>
      </c>
      <c r="L35" s="384"/>
      <c r="M35" s="385"/>
    </row>
    <row r="36" spans="1:40" ht="24" customHeight="1">
      <c r="A36" s="381"/>
      <c r="B36" s="382"/>
      <c r="C36" s="383"/>
      <c r="D36" s="383"/>
      <c r="E36" s="383"/>
      <c r="F36" s="383"/>
      <c r="G36" s="383"/>
      <c r="H36" s="565"/>
      <c r="I36" s="400" t="s">
        <v>98</v>
      </c>
      <c r="J36" s="532">
        <v>271</v>
      </c>
      <c r="K36" s="566" t="s">
        <v>96</v>
      </c>
      <c r="L36" s="384"/>
      <c r="M36" s="385"/>
    </row>
    <row r="37" spans="1:40" ht="24" customHeight="1">
      <c r="A37" s="381"/>
      <c r="B37" s="382"/>
      <c r="C37" s="383"/>
      <c r="D37" s="383"/>
      <c r="E37" s="383"/>
      <c r="F37" s="383"/>
      <c r="G37" s="383"/>
      <c r="H37" s="560"/>
      <c r="I37" s="400" t="s">
        <v>35</v>
      </c>
      <c r="J37" s="486">
        <f>ROUND(J36*100/J35,2)</f>
        <v>100</v>
      </c>
      <c r="K37" s="562" t="s">
        <v>51</v>
      </c>
      <c r="L37" s="384"/>
      <c r="M37" s="385"/>
    </row>
    <row r="38" spans="1:40" ht="24" customHeight="1">
      <c r="A38" s="507"/>
      <c r="B38" s="508"/>
      <c r="C38" s="509"/>
      <c r="D38" s="509"/>
      <c r="E38" s="509"/>
      <c r="F38" s="509"/>
      <c r="G38" s="509"/>
      <c r="H38" s="595"/>
      <c r="I38" s="596"/>
      <c r="J38" s="596"/>
      <c r="K38" s="567"/>
      <c r="L38" s="510"/>
      <c r="M38" s="376"/>
    </row>
    <row r="39" spans="1:40" ht="24" customHeight="1">
      <c r="A39" s="597" t="s">
        <v>152</v>
      </c>
      <c r="B39" s="490">
        <v>5.45</v>
      </c>
      <c r="C39" s="598">
        <v>0.65</v>
      </c>
      <c r="D39" s="598">
        <v>0.7</v>
      </c>
      <c r="E39" s="598">
        <v>0.75</v>
      </c>
      <c r="F39" s="598">
        <v>0.8</v>
      </c>
      <c r="G39" s="598">
        <v>0.85</v>
      </c>
      <c r="H39" s="738" t="s">
        <v>225</v>
      </c>
      <c r="I39" s="739"/>
      <c r="J39" s="739"/>
      <c r="K39" s="740"/>
      <c r="L39" s="303">
        <v>4.7939999999999996</v>
      </c>
      <c r="M39" s="380">
        <f>IF(L39=0,"-",ROUND(L39*B39/B$59,4))</f>
        <v>0.35920000000000002</v>
      </c>
    </row>
    <row r="40" spans="1:40" ht="24" customHeight="1">
      <c r="A40" s="381" t="s">
        <v>153</v>
      </c>
      <c r="B40" s="382"/>
      <c r="C40" s="383"/>
      <c r="D40" s="383"/>
      <c r="E40" s="383"/>
      <c r="F40" s="383"/>
      <c r="G40" s="383"/>
      <c r="H40" s="762" t="s">
        <v>226</v>
      </c>
      <c r="I40" s="763"/>
      <c r="J40" s="763"/>
      <c r="K40" s="764"/>
      <c r="L40" s="384"/>
      <c r="M40" s="385"/>
    </row>
    <row r="41" spans="1:40" ht="24" customHeight="1">
      <c r="A41" s="599" t="s">
        <v>162</v>
      </c>
      <c r="B41" s="382"/>
      <c r="C41" s="383"/>
      <c r="D41" s="383"/>
      <c r="E41" s="383"/>
      <c r="F41" s="383"/>
      <c r="G41" s="383"/>
      <c r="H41" s="565" t="s">
        <v>200</v>
      </c>
      <c r="I41" s="600" t="s">
        <v>113</v>
      </c>
      <c r="J41" s="486">
        <v>83.97</v>
      </c>
      <c r="K41" s="562" t="s">
        <v>51</v>
      </c>
      <c r="L41" s="384"/>
      <c r="M41" s="385"/>
    </row>
    <row r="42" spans="1:40" ht="24" customHeight="1">
      <c r="A42" s="381"/>
      <c r="B42" s="382"/>
      <c r="C42" s="383"/>
      <c r="D42" s="383"/>
      <c r="E42" s="383"/>
      <c r="F42" s="383"/>
      <c r="G42" s="517"/>
      <c r="H42" s="601"/>
      <c r="I42" s="601"/>
      <c r="J42" s="601"/>
      <c r="K42" s="601"/>
      <c r="L42" s="384"/>
      <c r="M42" s="385"/>
    </row>
    <row r="43" spans="1:40" ht="24" customHeight="1">
      <c r="A43" s="379" t="s">
        <v>154</v>
      </c>
      <c r="B43" s="490">
        <v>5.45</v>
      </c>
      <c r="C43" s="496" t="s">
        <v>29</v>
      </c>
      <c r="D43" s="496" t="s">
        <v>30</v>
      </c>
      <c r="E43" s="496" t="s">
        <v>31</v>
      </c>
      <c r="F43" s="496" t="s">
        <v>32</v>
      </c>
      <c r="G43" s="496" t="s">
        <v>33</v>
      </c>
      <c r="H43" s="738" t="s">
        <v>227</v>
      </c>
      <c r="I43" s="739"/>
      <c r="J43" s="739"/>
      <c r="K43" s="740"/>
      <c r="L43" s="303">
        <v>1</v>
      </c>
      <c r="M43" s="380">
        <f>IF(L43=0,"-",ROUND(L43*B43/B$59,4))</f>
        <v>7.4899999999999994E-2</v>
      </c>
    </row>
    <row r="44" spans="1:40" ht="24" customHeight="1">
      <c r="A44" s="381" t="s">
        <v>107</v>
      </c>
      <c r="B44" s="382"/>
      <c r="C44" s="497">
        <v>1.5</v>
      </c>
      <c r="D44" s="497">
        <v>2</v>
      </c>
      <c r="E44" s="497">
        <v>2.5</v>
      </c>
      <c r="F44" s="497">
        <v>3</v>
      </c>
      <c r="G44" s="497">
        <v>5</v>
      </c>
      <c r="H44" s="762" t="s">
        <v>228</v>
      </c>
      <c r="I44" s="763"/>
      <c r="J44" s="763"/>
      <c r="K44" s="764"/>
      <c r="L44" s="384"/>
      <c r="M44" s="385"/>
    </row>
    <row r="45" spans="1:40" ht="24" customHeight="1">
      <c r="A45" s="452" t="s">
        <v>310</v>
      </c>
      <c r="B45" s="382"/>
      <c r="C45" s="517"/>
      <c r="D45" s="517"/>
      <c r="E45" s="517"/>
      <c r="F45" s="517"/>
      <c r="G45" s="517"/>
      <c r="H45" s="762" t="s">
        <v>213</v>
      </c>
      <c r="I45" s="763"/>
      <c r="J45" s="763"/>
      <c r="K45" s="764"/>
      <c r="L45" s="384"/>
      <c r="M45" s="385"/>
    </row>
    <row r="46" spans="1:40" ht="24" customHeight="1">
      <c r="A46" s="381"/>
      <c r="B46" s="382"/>
      <c r="C46" s="517"/>
      <c r="D46" s="517"/>
      <c r="E46" s="517"/>
      <c r="F46" s="517"/>
      <c r="G46" s="517"/>
      <c r="H46" s="560"/>
      <c r="I46" s="400" t="s">
        <v>112</v>
      </c>
      <c r="J46" s="472" t="s">
        <v>11</v>
      </c>
      <c r="K46" s="566"/>
      <c r="L46" s="384"/>
      <c r="M46" s="385"/>
    </row>
    <row r="47" spans="1:40" ht="24" customHeight="1">
      <c r="A47" s="507"/>
      <c r="B47" s="508"/>
      <c r="C47" s="509"/>
      <c r="D47" s="509"/>
      <c r="E47" s="509"/>
      <c r="F47" s="509"/>
      <c r="G47" s="509"/>
      <c r="H47" s="511"/>
      <c r="I47" s="519"/>
      <c r="J47" s="519"/>
      <c r="K47" s="520"/>
      <c r="L47" s="510"/>
      <c r="M47" s="376"/>
    </row>
    <row r="48" spans="1:40" ht="24" customHeight="1">
      <c r="A48" s="602" t="s">
        <v>155</v>
      </c>
      <c r="B48" s="490">
        <v>5.45</v>
      </c>
      <c r="C48" s="598">
        <v>0.1</v>
      </c>
      <c r="D48" s="598">
        <v>0.3</v>
      </c>
      <c r="E48" s="598">
        <v>0.5</v>
      </c>
      <c r="F48" s="598">
        <v>0.7</v>
      </c>
      <c r="G48" s="598">
        <v>1</v>
      </c>
      <c r="H48" s="738" t="s">
        <v>316</v>
      </c>
      <c r="I48" s="739"/>
      <c r="J48" s="739"/>
      <c r="K48" s="740"/>
      <c r="L48" s="303">
        <f>ROUND(4+((J51-70)*1/30),4)</f>
        <v>5</v>
      </c>
      <c r="M48" s="380">
        <f>IF(L48=0,"-",ROUND(L48*B48/B$59,4))</f>
        <v>0.37459999999999999</v>
      </c>
      <c r="Q48" s="368" t="s">
        <v>164</v>
      </c>
      <c r="R48" s="368" t="s">
        <v>165</v>
      </c>
      <c r="S48" s="368" t="s">
        <v>166</v>
      </c>
      <c r="T48" s="368" t="s">
        <v>180</v>
      </c>
      <c r="U48" s="368" t="s">
        <v>181</v>
      </c>
      <c r="V48" s="368" t="s">
        <v>278</v>
      </c>
      <c r="W48" s="368" t="s">
        <v>183</v>
      </c>
      <c r="X48" s="368" t="s">
        <v>184</v>
      </c>
      <c r="Y48" s="368" t="s">
        <v>185</v>
      </c>
      <c r="Z48" s="368" t="s">
        <v>186</v>
      </c>
      <c r="AA48" s="368" t="s">
        <v>187</v>
      </c>
      <c r="AB48" s="368" t="s">
        <v>188</v>
      </c>
      <c r="AC48" s="368" t="s">
        <v>189</v>
      </c>
      <c r="AD48" s="368" t="s">
        <v>190</v>
      </c>
      <c r="AE48" s="368" t="s">
        <v>191</v>
      </c>
      <c r="AF48" s="368" t="s">
        <v>192</v>
      </c>
      <c r="AG48" s="368" t="s">
        <v>193</v>
      </c>
      <c r="AH48" s="368" t="s">
        <v>20</v>
      </c>
    </row>
    <row r="49" spans="1:34" ht="24" customHeight="1">
      <c r="A49" s="603" t="s">
        <v>197</v>
      </c>
      <c r="B49" s="604"/>
      <c r="C49" s="383"/>
      <c r="D49" s="383"/>
      <c r="E49" s="383"/>
      <c r="F49" s="383"/>
      <c r="G49" s="406"/>
      <c r="H49" s="560" t="s">
        <v>317</v>
      </c>
      <c r="I49" s="501"/>
      <c r="J49" s="581"/>
      <c r="K49" s="582"/>
      <c r="L49" s="518"/>
      <c r="M49" s="385"/>
      <c r="Q49" s="368">
        <v>82</v>
      </c>
      <c r="R49" s="368">
        <v>100</v>
      </c>
      <c r="S49" s="368">
        <v>0</v>
      </c>
      <c r="T49" s="368">
        <v>82</v>
      </c>
      <c r="U49" s="368">
        <v>72</v>
      </c>
      <c r="V49" s="368">
        <v>81</v>
      </c>
      <c r="W49" s="368">
        <v>95</v>
      </c>
      <c r="X49" s="368">
        <v>72</v>
      </c>
      <c r="Y49" s="368">
        <v>80</v>
      </c>
      <c r="Z49" s="368">
        <v>76</v>
      </c>
      <c r="AA49" s="368">
        <v>76</v>
      </c>
      <c r="AB49" s="368">
        <v>86</v>
      </c>
      <c r="AC49" s="368">
        <v>76</v>
      </c>
      <c r="AD49" s="368">
        <v>70</v>
      </c>
      <c r="AE49" s="368">
        <v>100</v>
      </c>
      <c r="AF49" s="368">
        <v>72</v>
      </c>
      <c r="AG49" s="368">
        <v>95</v>
      </c>
      <c r="AH49" s="404">
        <f>(Q49+R49+S49+T49+U49+V49+W49+X49+Y49+Z49+AA49+AB49+AC49+AD49+AE49+AF49+AG49)/17</f>
        <v>77.352941176470594</v>
      </c>
    </row>
    <row r="50" spans="1:34" ht="24" customHeight="1">
      <c r="A50" s="452" t="s">
        <v>310</v>
      </c>
      <c r="B50" s="604"/>
      <c r="C50" s="383"/>
      <c r="D50" s="383"/>
      <c r="E50" s="383"/>
      <c r="F50" s="383"/>
      <c r="G50" s="383"/>
      <c r="H50" s="561" t="s">
        <v>231</v>
      </c>
      <c r="I50" s="501"/>
      <c r="J50" s="581"/>
      <c r="K50" s="582"/>
      <c r="L50" s="518"/>
      <c r="M50" s="385"/>
    </row>
    <row r="51" spans="1:34" ht="24" customHeight="1">
      <c r="A51" s="603"/>
      <c r="B51" s="604"/>
      <c r="C51" s="383"/>
      <c r="D51" s="383"/>
      <c r="E51" s="383"/>
      <c r="F51" s="383"/>
      <c r="G51" s="383"/>
      <c r="H51" s="560"/>
      <c r="I51" s="400" t="s">
        <v>114</v>
      </c>
      <c r="J51" s="545">
        <v>100</v>
      </c>
      <c r="K51" s="551" t="s">
        <v>51</v>
      </c>
      <c r="L51" s="518"/>
      <c r="M51" s="385"/>
      <c r="P51" s="305"/>
    </row>
    <row r="52" spans="1:34" ht="24" customHeight="1">
      <c r="A52" s="605"/>
      <c r="B52" s="606"/>
      <c r="C52" s="509"/>
      <c r="D52" s="509"/>
      <c r="E52" s="509"/>
      <c r="F52" s="509"/>
      <c r="G52" s="509"/>
      <c r="H52" s="512"/>
      <c r="I52" s="519"/>
      <c r="J52" s="519"/>
      <c r="K52" s="520"/>
      <c r="L52" s="607"/>
      <c r="M52" s="376"/>
    </row>
    <row r="53" spans="1:34" ht="24" customHeight="1">
      <c r="A53" s="379" t="s">
        <v>156</v>
      </c>
      <c r="B53" s="490">
        <v>5.45</v>
      </c>
      <c r="C53" s="498">
        <v>0.8</v>
      </c>
      <c r="D53" s="498">
        <v>0.85</v>
      </c>
      <c r="E53" s="498">
        <v>0.9</v>
      </c>
      <c r="F53" s="498">
        <v>0.95</v>
      </c>
      <c r="G53" s="498">
        <v>1</v>
      </c>
      <c r="H53" s="738" t="s">
        <v>304</v>
      </c>
      <c r="I53" s="739"/>
      <c r="J53" s="739"/>
      <c r="K53" s="740"/>
      <c r="L53" s="303">
        <f>ROUND(4+((J57-95)*1/5),4)</f>
        <v>4.9400000000000004</v>
      </c>
      <c r="M53" s="380">
        <f>IF(L53=0,"-",ROUND(L53*B53/B$59,4))</f>
        <v>0.37009999999999998</v>
      </c>
      <c r="R53" s="413"/>
    </row>
    <row r="54" spans="1:34" ht="24" customHeight="1">
      <c r="A54" s="381" t="s">
        <v>116</v>
      </c>
      <c r="B54" s="382"/>
      <c r="C54" s="497"/>
      <c r="D54" s="497"/>
      <c r="E54" s="497"/>
      <c r="F54" s="497"/>
      <c r="G54" s="497"/>
      <c r="H54" s="762" t="s">
        <v>305</v>
      </c>
      <c r="I54" s="763"/>
      <c r="J54" s="763"/>
      <c r="K54" s="764"/>
      <c r="L54" s="384"/>
      <c r="M54" s="385"/>
    </row>
    <row r="55" spans="1:34" ht="24" customHeight="1">
      <c r="A55" s="452" t="s">
        <v>310</v>
      </c>
      <c r="B55" s="382"/>
      <c r="C55" s="383"/>
      <c r="D55" s="383"/>
      <c r="E55" s="383"/>
      <c r="F55" s="383"/>
      <c r="G55" s="383"/>
      <c r="H55" s="762" t="s">
        <v>306</v>
      </c>
      <c r="I55" s="763"/>
      <c r="J55" s="763"/>
      <c r="K55" s="764"/>
      <c r="L55" s="384"/>
      <c r="M55" s="385"/>
      <c r="O55" s="375"/>
      <c r="P55" s="375"/>
      <c r="Q55" s="375"/>
      <c r="R55" s="375"/>
      <c r="S55" s="375"/>
      <c r="T55" s="375"/>
      <c r="U55" s="375"/>
      <c r="V55" s="375"/>
      <c r="W55" s="375"/>
      <c r="X55" s="375"/>
      <c r="Y55" s="375"/>
      <c r="Z55" s="375"/>
      <c r="AA55" s="375"/>
      <c r="AB55" s="375"/>
      <c r="AC55" s="375"/>
      <c r="AD55" s="375"/>
      <c r="AE55" s="375"/>
      <c r="AF55" s="375"/>
    </row>
    <row r="56" spans="1:34" ht="24" customHeight="1">
      <c r="A56" s="381"/>
      <c r="B56" s="382"/>
      <c r="C56" s="383"/>
      <c r="D56" s="383"/>
      <c r="E56" s="383"/>
      <c r="F56" s="383"/>
      <c r="G56" s="383"/>
      <c r="H56" s="560" t="s">
        <v>307</v>
      </c>
      <c r="I56" s="561"/>
      <c r="J56" s="561"/>
      <c r="K56" s="562"/>
      <c r="L56" s="384"/>
      <c r="M56" s="385"/>
      <c r="O56" s="414"/>
      <c r="P56" s="414"/>
      <c r="Q56" s="414"/>
      <c r="R56" s="414"/>
      <c r="S56" s="414"/>
      <c r="T56" s="414"/>
      <c r="U56" s="414"/>
      <c r="V56" s="414"/>
      <c r="W56" s="414"/>
      <c r="X56" s="414"/>
      <c r="Y56" s="414"/>
      <c r="Z56" s="414"/>
      <c r="AA56" s="414"/>
      <c r="AB56" s="414"/>
      <c r="AC56" s="414"/>
      <c r="AD56" s="414"/>
      <c r="AE56" s="414"/>
      <c r="AF56" s="414"/>
    </row>
    <row r="57" spans="1:34" s="292" customFormat="1" ht="24" customHeight="1">
      <c r="A57" s="541"/>
      <c r="B57" s="542"/>
      <c r="C57" s="460"/>
      <c r="D57" s="460"/>
      <c r="E57" s="460"/>
      <c r="F57" s="460"/>
      <c r="G57" s="460"/>
      <c r="H57" s="560"/>
      <c r="I57" s="400" t="s">
        <v>114</v>
      </c>
      <c r="J57" s="545">
        <v>99.7</v>
      </c>
      <c r="K57" s="566" t="s">
        <v>51</v>
      </c>
      <c r="L57" s="458"/>
      <c r="M57" s="457"/>
    </row>
    <row r="58" spans="1:34" ht="24" customHeight="1">
      <c r="A58" s="381"/>
      <c r="B58" s="608"/>
      <c r="C58" s="383"/>
      <c r="D58" s="383"/>
      <c r="E58" s="383"/>
      <c r="F58" s="383"/>
      <c r="G58" s="517"/>
      <c r="H58" s="560"/>
      <c r="I58" s="601"/>
      <c r="J58" s="600"/>
      <c r="K58" s="562"/>
      <c r="L58" s="384"/>
      <c r="M58" s="385"/>
      <c r="O58" s="414"/>
      <c r="P58" s="414"/>
      <c r="Q58" s="414"/>
      <c r="R58" s="414"/>
      <c r="S58" s="414"/>
      <c r="T58" s="414"/>
      <c r="U58" s="414"/>
      <c r="V58" s="414"/>
      <c r="W58" s="414"/>
      <c r="X58" s="414"/>
      <c r="Y58" s="414"/>
      <c r="Z58" s="414"/>
      <c r="AA58" s="414"/>
      <c r="AB58" s="414"/>
      <c r="AC58" s="414"/>
      <c r="AD58" s="414"/>
      <c r="AE58" s="414"/>
      <c r="AF58" s="414"/>
    </row>
    <row r="59" spans="1:34" ht="24" customHeight="1">
      <c r="A59" s="415"/>
      <c r="B59" s="416">
        <f>SUM(B6:B58)</f>
        <v>72.740000000000009</v>
      </c>
      <c r="C59" s="417"/>
      <c r="D59" s="417"/>
      <c r="E59" s="417"/>
      <c r="F59" s="417"/>
      <c r="G59" s="418"/>
      <c r="H59" s="417"/>
      <c r="I59" s="417"/>
      <c r="J59" s="417"/>
      <c r="K59" s="417"/>
      <c r="L59" s="419" t="s">
        <v>140</v>
      </c>
      <c r="M59" s="420">
        <f>SUM(M6:M58)</f>
        <v>3.1701000000000001</v>
      </c>
      <c r="O59" s="414"/>
      <c r="P59" s="414"/>
      <c r="Q59" s="414"/>
      <c r="R59" s="414"/>
      <c r="S59" s="414"/>
      <c r="T59" s="414"/>
      <c r="U59" s="414"/>
      <c r="V59" s="414"/>
      <c r="W59" s="414"/>
      <c r="X59" s="414"/>
      <c r="Y59" s="414"/>
      <c r="Z59" s="414"/>
      <c r="AA59" s="414"/>
      <c r="AB59" s="414"/>
      <c r="AC59" s="414"/>
      <c r="AD59" s="414"/>
      <c r="AE59" s="414"/>
      <c r="AF59" s="414"/>
    </row>
    <row r="60" spans="1:34" ht="24" customHeight="1">
      <c r="O60" s="414"/>
      <c r="P60" s="414"/>
      <c r="Q60" s="414"/>
      <c r="R60" s="414"/>
      <c r="S60" s="414"/>
      <c r="T60" s="414"/>
      <c r="U60" s="414"/>
      <c r="V60" s="422"/>
      <c r="W60" s="414"/>
      <c r="X60" s="414"/>
      <c r="Y60" s="414"/>
      <c r="Z60" s="414"/>
      <c r="AA60" s="414"/>
      <c r="AB60" s="414"/>
      <c r="AC60" s="414"/>
      <c r="AD60" s="414"/>
      <c r="AE60" s="414"/>
      <c r="AF60" s="414"/>
    </row>
    <row r="61" spans="1:34" ht="24" customHeight="1">
      <c r="A61" s="423"/>
    </row>
    <row r="62" spans="1:34" ht="24" customHeight="1"/>
    <row r="63" spans="1:34" ht="24" customHeight="1"/>
    <row r="64" spans="1:34" ht="24" customHeight="1"/>
    <row r="65" ht="24" customHeight="1"/>
    <row r="66" ht="24" customHeight="1"/>
    <row r="67" ht="24" customHeight="1"/>
    <row r="68" ht="24" customHeight="1"/>
  </sheetData>
  <mergeCells count="34">
    <mergeCell ref="H45:K45"/>
    <mergeCell ref="H48:K48"/>
    <mergeCell ref="H53:K53"/>
    <mergeCell ref="H54:K54"/>
    <mergeCell ref="H55:K55"/>
    <mergeCell ref="AI21:AJ21"/>
    <mergeCell ref="H44:K44"/>
    <mergeCell ref="H23:K23"/>
    <mergeCell ref="H25:K25"/>
    <mergeCell ref="H26:K26"/>
    <mergeCell ref="H27:K27"/>
    <mergeCell ref="H32:K32"/>
    <mergeCell ref="H33:K33"/>
    <mergeCell ref="H34:K34"/>
    <mergeCell ref="H39:K39"/>
    <mergeCell ref="H40:K40"/>
    <mergeCell ref="H43:K43"/>
    <mergeCell ref="H22:K22"/>
    <mergeCell ref="H7:K7"/>
    <mergeCell ref="H8:K8"/>
    <mergeCell ref="H9:K9"/>
    <mergeCell ref="H11:K11"/>
    <mergeCell ref="H12:K12"/>
    <mergeCell ref="H13:K13"/>
    <mergeCell ref="H14:K14"/>
    <mergeCell ref="H17:K17"/>
    <mergeCell ref="H18:K18"/>
    <mergeCell ref="H19:K19"/>
    <mergeCell ref="H6:K6"/>
    <mergeCell ref="A1:M1"/>
    <mergeCell ref="A2:M2"/>
    <mergeCell ref="C4:G4"/>
    <mergeCell ref="H4:K5"/>
    <mergeCell ref="L4:L5"/>
  </mergeCells>
  <printOptions horizontalCentered="1"/>
  <pageMargins left="0.196850393700787" right="0.196850393700787" top="0.55118110236220497" bottom="0.27559055118110198" header="0.196850393700787" footer="0.47244094488188998"/>
  <pageSetup paperSize="9" scale="67" orientation="landscape" r:id="rId1"/>
  <headerFooter scaleWithDoc="0">
    <oddHeader>&amp;R&amp;"TH SarabunPSK,Regular"&amp;16&amp;P</oddHeader>
  </headerFooter>
  <rowBreaks count="2" manualBreakCount="2">
    <brk id="25" max="12" man="1"/>
    <brk id="52" max="12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N73"/>
  <sheetViews>
    <sheetView view="pageBreakPreview" zoomScaleNormal="90" zoomScaleSheetLayoutView="100" zoomScalePageLayoutView="50" workbookViewId="0">
      <selection activeCell="H8" sqref="H8:K8"/>
    </sheetView>
  </sheetViews>
  <sheetFormatPr defaultColWidth="9.140625" defaultRowHeight="21"/>
  <cols>
    <col min="1" max="1" width="38" style="368" customWidth="1"/>
    <col min="2" max="2" width="11.5703125" style="368" customWidth="1"/>
    <col min="3" max="3" width="9.85546875" style="368" customWidth="1"/>
    <col min="4" max="7" width="9.28515625" style="368" customWidth="1"/>
    <col min="8" max="8" width="9.85546875" style="368" customWidth="1"/>
    <col min="9" max="9" width="16.140625" style="368" customWidth="1"/>
    <col min="10" max="10" width="16.5703125" style="368" customWidth="1"/>
    <col min="11" max="11" width="35.28515625" style="368" customWidth="1"/>
    <col min="12" max="12" width="11.140625" style="421" customWidth="1"/>
    <col min="13" max="13" width="11.140625" style="368" customWidth="1"/>
    <col min="14" max="16" width="9.140625" style="368"/>
    <col min="17" max="17" width="12.42578125" style="368" bestFit="1" customWidth="1"/>
    <col min="18" max="20" width="11.5703125" style="368" bestFit="1" customWidth="1"/>
    <col min="21" max="21" width="9.140625" style="368"/>
    <col min="22" max="30" width="11.5703125" style="368" bestFit="1" customWidth="1"/>
    <col min="31" max="31" width="17.7109375" style="368" customWidth="1"/>
    <col min="32" max="32" width="9.28515625" style="368" bestFit="1" customWidth="1"/>
    <col min="33" max="33" width="11.28515625" style="368" bestFit="1" customWidth="1"/>
    <col min="34" max="35" width="9.140625" style="368"/>
    <col min="36" max="36" width="86.140625" style="368" bestFit="1" customWidth="1"/>
    <col min="37" max="37" width="19.28515625" style="368" bestFit="1" customWidth="1"/>
    <col min="38" max="38" width="15" style="368" bestFit="1" customWidth="1"/>
    <col min="39" max="39" width="10.42578125" style="368" bestFit="1" customWidth="1"/>
    <col min="40" max="16384" width="9.140625" style="368"/>
  </cols>
  <sheetData>
    <row r="1" spans="1:40" ht="24" customHeight="1">
      <c r="A1" s="752" t="s">
        <v>0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2" spans="1:40" ht="24" customHeight="1">
      <c r="A2" s="752" t="s">
        <v>311</v>
      </c>
      <c r="B2" s="753"/>
      <c r="C2" s="753"/>
      <c r="D2" s="753"/>
      <c r="E2" s="753"/>
      <c r="F2" s="753"/>
      <c r="G2" s="753"/>
      <c r="H2" s="753"/>
      <c r="I2" s="753"/>
      <c r="J2" s="753"/>
      <c r="K2" s="753"/>
      <c r="L2" s="753"/>
      <c r="M2" s="753"/>
    </row>
    <row r="3" spans="1:40" ht="24" customHeight="1">
      <c r="A3" s="369" t="s">
        <v>373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72" t="s">
        <v>237</v>
      </c>
    </row>
    <row r="4" spans="1:40" s="375" customFormat="1" ht="24" customHeight="1">
      <c r="A4" s="373" t="s">
        <v>1</v>
      </c>
      <c r="B4" s="373" t="s">
        <v>2</v>
      </c>
      <c r="C4" s="754" t="s">
        <v>3</v>
      </c>
      <c r="D4" s="754"/>
      <c r="E4" s="754"/>
      <c r="F4" s="754"/>
      <c r="G4" s="754"/>
      <c r="H4" s="755" t="s">
        <v>4</v>
      </c>
      <c r="I4" s="756"/>
      <c r="J4" s="756"/>
      <c r="K4" s="757"/>
      <c r="L4" s="776" t="s">
        <v>5</v>
      </c>
      <c r="M4" s="374" t="s">
        <v>6</v>
      </c>
    </row>
    <row r="5" spans="1:40" s="375" customFormat="1" ht="24" customHeight="1">
      <c r="A5" s="376" t="s">
        <v>7</v>
      </c>
      <c r="B5" s="376" t="s">
        <v>8</v>
      </c>
      <c r="C5" s="377">
        <v>1</v>
      </c>
      <c r="D5" s="377">
        <v>2</v>
      </c>
      <c r="E5" s="377">
        <v>3</v>
      </c>
      <c r="F5" s="377">
        <v>4</v>
      </c>
      <c r="G5" s="377">
        <v>5</v>
      </c>
      <c r="H5" s="758"/>
      <c r="I5" s="759"/>
      <c r="J5" s="759"/>
      <c r="K5" s="760"/>
      <c r="L5" s="776"/>
      <c r="M5" s="378" t="s">
        <v>9</v>
      </c>
    </row>
    <row r="6" spans="1:40" ht="24" customHeight="1">
      <c r="A6" s="379" t="s">
        <v>159</v>
      </c>
      <c r="B6" s="302">
        <v>5.45</v>
      </c>
      <c r="C6" s="506">
        <v>0.65</v>
      </c>
      <c r="D6" s="506">
        <v>0.7</v>
      </c>
      <c r="E6" s="506">
        <v>0.75</v>
      </c>
      <c r="F6" s="506">
        <v>0.8</v>
      </c>
      <c r="G6" s="506">
        <v>0.85</v>
      </c>
      <c r="H6" s="738" t="s">
        <v>203</v>
      </c>
      <c r="I6" s="739"/>
      <c r="J6" s="739"/>
      <c r="K6" s="740"/>
      <c r="L6" s="303">
        <v>4.8520000000000003</v>
      </c>
      <c r="M6" s="380">
        <f>IF(L6=0,"-",ROUND(L6*B6/B$64,4))</f>
        <v>0.3382</v>
      </c>
    </row>
    <row r="7" spans="1:40" ht="24" customHeight="1">
      <c r="A7" s="381" t="s">
        <v>144</v>
      </c>
      <c r="B7" s="382"/>
      <c r="C7" s="383"/>
      <c r="D7" s="383"/>
      <c r="E7" s="383"/>
      <c r="F7" s="383"/>
      <c r="G7" s="383"/>
      <c r="H7" s="762" t="s">
        <v>365</v>
      </c>
      <c r="I7" s="763"/>
      <c r="J7" s="763"/>
      <c r="K7" s="764"/>
      <c r="L7" s="384"/>
      <c r="M7" s="385"/>
      <c r="N7" s="375" t="s">
        <v>238</v>
      </c>
      <c r="O7" s="386" t="s">
        <v>164</v>
      </c>
      <c r="P7" s="375" t="s">
        <v>165</v>
      </c>
      <c r="Q7" s="375" t="s">
        <v>166</v>
      </c>
      <c r="R7" s="386" t="s">
        <v>167</v>
      </c>
      <c r="S7" s="386" t="s">
        <v>168</v>
      </c>
      <c r="T7" s="386" t="s">
        <v>169</v>
      </c>
      <c r="U7" s="386" t="s">
        <v>170</v>
      </c>
      <c r="V7" s="386" t="s">
        <v>171</v>
      </c>
      <c r="W7" s="375" t="s">
        <v>172</v>
      </c>
      <c r="X7" s="386" t="s">
        <v>173</v>
      </c>
      <c r="Y7" s="386" t="s">
        <v>174</v>
      </c>
      <c r="Z7" s="375" t="s">
        <v>175</v>
      </c>
      <c r="AA7" s="386" t="s">
        <v>176</v>
      </c>
      <c r="AB7" s="386" t="s">
        <v>178</v>
      </c>
      <c r="AC7" s="375" t="s">
        <v>192</v>
      </c>
      <c r="AD7" s="375" t="s">
        <v>239</v>
      </c>
      <c r="AE7" s="375" t="s">
        <v>240</v>
      </c>
    </row>
    <row r="8" spans="1:40" ht="24" customHeight="1">
      <c r="A8" s="381"/>
      <c r="B8" s="382"/>
      <c r="C8" s="383"/>
      <c r="D8" s="383"/>
      <c r="E8" s="383"/>
      <c r="F8" s="383"/>
      <c r="G8" s="383"/>
      <c r="H8" s="762" t="s">
        <v>204</v>
      </c>
      <c r="I8" s="763"/>
      <c r="J8" s="763"/>
      <c r="K8" s="764"/>
      <c r="L8" s="384"/>
      <c r="M8" s="385"/>
      <c r="AI8" s="387" t="s">
        <v>241</v>
      </c>
      <c r="AJ8" s="388" t="s">
        <v>14</v>
      </c>
      <c r="AK8" s="389" t="s">
        <v>242</v>
      </c>
      <c r="AL8" s="390" t="s">
        <v>243</v>
      </c>
      <c r="AM8" s="391"/>
      <c r="AN8" s="391" t="s">
        <v>244</v>
      </c>
    </row>
    <row r="9" spans="1:40" ht="24" customHeight="1">
      <c r="A9" s="381"/>
      <c r="B9" s="382"/>
      <c r="C9" s="383"/>
      <c r="D9" s="383"/>
      <c r="E9" s="383"/>
      <c r="F9" s="383"/>
      <c r="G9" s="383"/>
      <c r="H9" s="762" t="s">
        <v>205</v>
      </c>
      <c r="I9" s="763"/>
      <c r="J9" s="763"/>
      <c r="K9" s="764"/>
      <c r="L9" s="384"/>
      <c r="M9" s="385"/>
      <c r="N9" s="392">
        <f>SUM(O9:AB9)</f>
        <v>2754.9592476500002</v>
      </c>
      <c r="O9" s="393">
        <v>63.05</v>
      </c>
      <c r="P9" s="393">
        <v>363.36509999999998</v>
      </c>
      <c r="Q9" s="393">
        <v>157.61449099999999</v>
      </c>
      <c r="R9" s="393">
        <v>122.296868</v>
      </c>
      <c r="S9" s="393"/>
      <c r="T9" s="393">
        <v>687.09411299999999</v>
      </c>
      <c r="U9" s="394">
        <v>432.493359</v>
      </c>
      <c r="V9" s="393"/>
      <c r="W9" s="393">
        <v>567.82270000000005</v>
      </c>
      <c r="X9" s="393">
        <v>128.228759</v>
      </c>
      <c r="Y9" s="393">
        <v>39.988</v>
      </c>
      <c r="AA9" s="326">
        <v>103.4341</v>
      </c>
      <c r="AB9" s="393">
        <v>89.571757649999995</v>
      </c>
      <c r="AC9" s="368">
        <f>SUM(O9:AB9)</f>
        <v>2754.9592476500002</v>
      </c>
      <c r="AE9" s="368">
        <f>AC9</f>
        <v>2754.9592476500002</v>
      </c>
      <c r="AI9" s="395">
        <v>1</v>
      </c>
      <c r="AJ9" s="396" t="s">
        <v>245</v>
      </c>
      <c r="AK9" s="397">
        <v>172677500</v>
      </c>
      <c r="AL9" s="398">
        <v>13.36</v>
      </c>
      <c r="AM9" s="399" t="e">
        <f t="shared" ref="AM9:AM25" si="0">AL9*AK9/$C$13</f>
        <v>#DIV/0!</v>
      </c>
      <c r="AN9" s="399">
        <f>AL9*AK9/AK9</f>
        <v>13.36</v>
      </c>
    </row>
    <row r="10" spans="1:40" ht="24" customHeight="1">
      <c r="A10" s="381"/>
      <c r="B10" s="382"/>
      <c r="C10" s="383"/>
      <c r="D10" s="383"/>
      <c r="E10" s="383"/>
      <c r="F10" s="383"/>
      <c r="G10" s="383"/>
      <c r="I10" s="400" t="s">
        <v>54</v>
      </c>
      <c r="J10" s="472">
        <v>84.26</v>
      </c>
      <c r="K10" s="562" t="s">
        <v>51</v>
      </c>
      <c r="L10" s="384"/>
      <c r="M10" s="385"/>
      <c r="N10" s="368">
        <f>(O10*O9+P10*P9+Q10*Q9+R10*R9+S10*S9+T10*T9+U10*U9+V10*V9+W10*W9+X10*X9+Y10*Y9+Z10*Z9+AA10*AA9+AB10*AB9)/N9</f>
        <v>84.754654906071266</v>
      </c>
      <c r="O10" s="393">
        <v>100</v>
      </c>
      <c r="P10" s="393">
        <v>63.46</v>
      </c>
      <c r="Q10" s="393">
        <v>51.39</v>
      </c>
      <c r="R10" s="393">
        <v>100</v>
      </c>
      <c r="S10" s="393"/>
      <c r="T10" s="393">
        <v>100</v>
      </c>
      <c r="U10" s="393">
        <v>98.85</v>
      </c>
      <c r="V10" s="393"/>
      <c r="W10" s="401">
        <v>77.599999999999994</v>
      </c>
      <c r="X10" s="393">
        <v>66.87</v>
      </c>
      <c r="Y10" s="393">
        <v>100</v>
      </c>
      <c r="AA10" s="393">
        <v>71.75</v>
      </c>
      <c r="AB10" s="393">
        <v>92.47</v>
      </c>
      <c r="AC10" s="402">
        <f>J10</f>
        <v>84.26</v>
      </c>
      <c r="AE10" s="402">
        <f>J10</f>
        <v>84.26</v>
      </c>
      <c r="AI10" s="395">
        <v>2</v>
      </c>
      <c r="AJ10" s="396" t="s">
        <v>246</v>
      </c>
      <c r="AK10" s="397">
        <v>525283600</v>
      </c>
      <c r="AL10" s="398">
        <v>35.229999999999997</v>
      </c>
      <c r="AM10" s="399" t="e">
        <f t="shared" si="0"/>
        <v>#DIV/0!</v>
      </c>
      <c r="AN10" s="399">
        <f t="shared" ref="AN10:AN23" si="1">(AL10*AK10/AK10)</f>
        <v>35.229999999999997</v>
      </c>
    </row>
    <row r="11" spans="1:40" ht="24" customHeight="1">
      <c r="A11" s="507"/>
      <c r="B11" s="508"/>
      <c r="C11" s="509"/>
      <c r="D11" s="509"/>
      <c r="E11" s="509"/>
      <c r="F11" s="509"/>
      <c r="G11" s="509"/>
      <c r="H11" s="768"/>
      <c r="I11" s="769"/>
      <c r="J11" s="769"/>
      <c r="K11" s="770"/>
      <c r="L11" s="510"/>
      <c r="M11" s="376"/>
      <c r="AE11" s="368" t="s">
        <v>20</v>
      </c>
      <c r="AI11" s="395"/>
      <c r="AJ11" s="396" t="s">
        <v>247</v>
      </c>
      <c r="AK11" s="397">
        <v>63771100</v>
      </c>
      <c r="AL11" s="398">
        <v>0.28000000000000003</v>
      </c>
      <c r="AM11" s="399" t="e">
        <f t="shared" si="0"/>
        <v>#DIV/0!</v>
      </c>
      <c r="AN11" s="399"/>
    </row>
    <row r="12" spans="1:40" ht="24" customHeight="1">
      <c r="A12" s="379" t="s">
        <v>145</v>
      </c>
      <c r="B12" s="302">
        <v>16.36</v>
      </c>
      <c r="C12" s="506">
        <v>0.69</v>
      </c>
      <c r="D12" s="506">
        <v>0.72</v>
      </c>
      <c r="E12" s="506">
        <v>0.75</v>
      </c>
      <c r="F12" s="506">
        <v>0.78</v>
      </c>
      <c r="G12" s="506">
        <v>0.81</v>
      </c>
      <c r="H12" s="739" t="s">
        <v>206</v>
      </c>
      <c r="I12" s="739"/>
      <c r="J12" s="739"/>
      <c r="K12" s="740"/>
      <c r="L12" s="303">
        <v>4.45</v>
      </c>
      <c r="M12" s="380">
        <f>IF(L12=0,"-",ROUND(L12*B12/B$64,4))</f>
        <v>0.93110000000000004</v>
      </c>
      <c r="P12" s="368" t="s">
        <v>177</v>
      </c>
      <c r="Q12" s="368">
        <v>88227925</v>
      </c>
      <c r="R12" s="368">
        <v>454314777</v>
      </c>
      <c r="S12" s="368">
        <v>163703662</v>
      </c>
      <c r="T12" s="368">
        <v>340069114</v>
      </c>
      <c r="V12" s="368">
        <v>145609485</v>
      </c>
      <c r="W12" s="368">
        <v>376474997</v>
      </c>
      <c r="X12" s="368">
        <v>154664423</v>
      </c>
      <c r="Y12" s="368">
        <v>364453100</v>
      </c>
      <c r="Z12" s="368">
        <v>301496841</v>
      </c>
      <c r="AA12" s="368">
        <v>117859601</v>
      </c>
      <c r="AB12" s="368">
        <v>103922683</v>
      </c>
      <c r="AC12" s="368">
        <v>110709100</v>
      </c>
      <c r="AD12" s="368">
        <v>396724840</v>
      </c>
      <c r="AE12" s="368">
        <f>Q12+R12+S12+T12+V12+W12+X12+Y12+Z12+AA12+AB12+AC12+AD12</f>
        <v>3118230548</v>
      </c>
      <c r="AI12" s="395"/>
      <c r="AJ12" s="396" t="s">
        <v>248</v>
      </c>
      <c r="AK12" s="397">
        <v>85121200</v>
      </c>
      <c r="AL12" s="398">
        <v>2.0499999999999998</v>
      </c>
      <c r="AM12" s="399" t="e">
        <f t="shared" si="0"/>
        <v>#DIV/0!</v>
      </c>
      <c r="AN12" s="399"/>
    </row>
    <row r="13" spans="1:40" ht="24" customHeight="1">
      <c r="A13" s="381" t="s">
        <v>21</v>
      </c>
      <c r="B13" s="382"/>
      <c r="C13" s="383"/>
      <c r="D13" s="383"/>
      <c r="E13" s="383"/>
      <c r="F13" s="383"/>
      <c r="G13" s="383"/>
      <c r="H13" s="762" t="s">
        <v>207</v>
      </c>
      <c r="I13" s="763"/>
      <c r="J13" s="763"/>
      <c r="K13" s="764"/>
      <c r="L13" s="384"/>
      <c r="M13" s="385"/>
      <c r="P13" s="368" t="s">
        <v>179</v>
      </c>
      <c r="Q13" s="368">
        <v>62767727</v>
      </c>
      <c r="R13" s="368">
        <v>213672936</v>
      </c>
      <c r="S13" s="368">
        <v>25795924</v>
      </c>
      <c r="T13" s="368">
        <v>114556854</v>
      </c>
      <c r="V13" s="368">
        <v>128932639</v>
      </c>
      <c r="W13" s="368">
        <v>336587666</v>
      </c>
      <c r="X13" s="368">
        <v>52373847</v>
      </c>
      <c r="Y13" s="368">
        <v>90762837</v>
      </c>
      <c r="Z13" s="368">
        <v>241819557</v>
      </c>
      <c r="AA13" s="368">
        <v>53872593</v>
      </c>
      <c r="AB13" s="368">
        <v>20156387</v>
      </c>
      <c r="AC13" s="368">
        <v>73919342</v>
      </c>
      <c r="AD13" s="368">
        <v>64957443</v>
      </c>
      <c r="AE13" s="403">
        <f>Q13+R13+S13+T13+V13+W13+X13+Y13+Z13+AA13+AB13+AC13+AD13</f>
        <v>1480175752</v>
      </c>
      <c r="AI13" s="395"/>
      <c r="AJ13" s="396" t="s">
        <v>249</v>
      </c>
      <c r="AK13" s="397">
        <v>115875000</v>
      </c>
      <c r="AL13" s="398">
        <v>0</v>
      </c>
      <c r="AM13" s="399" t="e">
        <f t="shared" si="0"/>
        <v>#DIV/0!</v>
      </c>
      <c r="AN13" s="399"/>
    </row>
    <row r="14" spans="1:40" ht="24" customHeight="1">
      <c r="A14" s="381"/>
      <c r="B14" s="382"/>
      <c r="C14" s="383"/>
      <c r="D14" s="383"/>
      <c r="E14" s="383"/>
      <c r="F14" s="383"/>
      <c r="G14" s="383"/>
      <c r="H14" s="762" t="s">
        <v>299</v>
      </c>
      <c r="I14" s="763"/>
      <c r="J14" s="763"/>
      <c r="K14" s="764"/>
      <c r="L14" s="384"/>
      <c r="M14" s="385"/>
      <c r="P14" s="368" t="s">
        <v>194</v>
      </c>
      <c r="Q14" s="368">
        <v>19.71</v>
      </c>
      <c r="R14" s="368">
        <v>38.619999999999997</v>
      </c>
      <c r="S14" s="368">
        <v>5.8</v>
      </c>
      <c r="T14" s="368">
        <v>21.95</v>
      </c>
      <c r="AE14" s="404">
        <f>(AE13/AE12)*100</f>
        <v>47.468451393030229</v>
      </c>
      <c r="AI14" s="395">
        <v>4</v>
      </c>
      <c r="AJ14" s="396" t="s">
        <v>250</v>
      </c>
      <c r="AK14" s="397">
        <v>1039701600</v>
      </c>
      <c r="AL14" s="398">
        <v>5.62</v>
      </c>
      <c r="AM14" s="399" t="e">
        <f t="shared" si="0"/>
        <v>#DIV/0!</v>
      </c>
      <c r="AN14" s="399">
        <f t="shared" si="1"/>
        <v>5.62</v>
      </c>
    </row>
    <row r="15" spans="1:40" ht="24" customHeight="1">
      <c r="A15" s="381"/>
      <c r="B15" s="382"/>
      <c r="C15" s="383"/>
      <c r="D15" s="383"/>
      <c r="E15" s="383"/>
      <c r="F15" s="383"/>
      <c r="G15" s="383"/>
      <c r="H15" s="565"/>
      <c r="I15" s="400" t="s">
        <v>199</v>
      </c>
      <c r="J15" s="472">
        <v>79.349999999999994</v>
      </c>
      <c r="K15" s="562" t="s">
        <v>51</v>
      </c>
      <c r="L15" s="384"/>
      <c r="M15" s="385"/>
      <c r="Q15" s="368">
        <f>(Q12*Q14)/AE12</f>
        <v>0.55767922704283635</v>
      </c>
      <c r="R15" s="368">
        <f>(R12*R14)/AE12</f>
        <v>5.6267926369310901</v>
      </c>
      <c r="S15" s="368">
        <f>(S12*S14)/AE12</f>
        <v>0.3044935982071586</v>
      </c>
      <c r="T15" s="368">
        <f>(T12*T14)/AE12</f>
        <v>2.3938310325026038</v>
      </c>
      <c r="V15" s="368">
        <f>(V12*V14)/AE12</f>
        <v>0</v>
      </c>
      <c r="W15" s="368">
        <f>(W12*W14)/AE12</f>
        <v>0</v>
      </c>
      <c r="X15" s="368">
        <f>(X12*X14)/AE12</f>
        <v>0</v>
      </c>
      <c r="Y15" s="368">
        <f>(Y12*Y14)/AE12</f>
        <v>0</v>
      </c>
      <c r="Z15" s="368">
        <f>(Z12*Z14)/AE12</f>
        <v>0</v>
      </c>
      <c r="AA15" s="368">
        <f>(AA12*AA14)/AE12</f>
        <v>0</v>
      </c>
      <c r="AB15" s="368">
        <f>(AB12*AB14)/AE12</f>
        <v>0</v>
      </c>
      <c r="AC15" s="368">
        <f>(AC12*AC14)/AE12</f>
        <v>0</v>
      </c>
      <c r="AD15" s="368">
        <f>(AD12*AD14)/AE12</f>
        <v>0</v>
      </c>
      <c r="AE15" s="368">
        <f>(Q15+R15+S15+T15+V15+W15+X15+Y15+Z15+AA15+AB15+AC15+AD15)/AE12</f>
        <v>2.8486657281903096E-9</v>
      </c>
      <c r="AI15" s="395">
        <v>5</v>
      </c>
      <c r="AJ15" s="396" t="s">
        <v>251</v>
      </c>
      <c r="AK15" s="397">
        <v>636679600</v>
      </c>
      <c r="AL15" s="398">
        <v>13.07</v>
      </c>
      <c r="AM15" s="399" t="e">
        <f t="shared" si="0"/>
        <v>#DIV/0!</v>
      </c>
      <c r="AN15" s="399">
        <f t="shared" si="1"/>
        <v>13.07</v>
      </c>
    </row>
    <row r="16" spans="1:40" ht="24" customHeight="1">
      <c r="A16" s="507"/>
      <c r="B16" s="508"/>
      <c r="C16" s="509"/>
      <c r="D16" s="509"/>
      <c r="E16" s="509"/>
      <c r="F16" s="509"/>
      <c r="G16" s="509"/>
      <c r="H16" s="511"/>
      <c r="I16" s="512"/>
      <c r="J16" s="513"/>
      <c r="K16" s="514"/>
      <c r="L16" s="510"/>
      <c r="M16" s="376"/>
      <c r="S16" s="368">
        <v>278676</v>
      </c>
      <c r="AI16" s="395">
        <v>8</v>
      </c>
      <c r="AJ16" s="396" t="s">
        <v>252</v>
      </c>
      <c r="AK16" s="397">
        <v>168866326</v>
      </c>
      <c r="AL16" s="398">
        <v>25.53</v>
      </c>
      <c r="AM16" s="399" t="e">
        <f t="shared" si="0"/>
        <v>#DIV/0!</v>
      </c>
      <c r="AN16" s="399">
        <f t="shared" si="1"/>
        <v>25.529999999999998</v>
      </c>
    </row>
    <row r="17" spans="1:40" ht="24" customHeight="1">
      <c r="A17" s="379" t="s">
        <v>146</v>
      </c>
      <c r="B17" s="302">
        <v>5.45</v>
      </c>
      <c r="C17" s="405">
        <v>0.92</v>
      </c>
      <c r="D17" s="405">
        <v>0.94</v>
      </c>
      <c r="E17" s="405">
        <v>0.96</v>
      </c>
      <c r="F17" s="405">
        <v>0.98</v>
      </c>
      <c r="G17" s="405">
        <v>1</v>
      </c>
      <c r="H17" s="738" t="s">
        <v>312</v>
      </c>
      <c r="I17" s="739"/>
      <c r="J17" s="739"/>
      <c r="K17" s="740"/>
      <c r="L17" s="303">
        <v>4.7549999999999999</v>
      </c>
      <c r="M17" s="380">
        <f>IF(L17=0,"-",ROUND(L17*B17/B$64,4))</f>
        <v>0.33139999999999997</v>
      </c>
      <c r="S17" s="368">
        <v>6516821</v>
      </c>
      <c r="AI17" s="395">
        <v>9</v>
      </c>
      <c r="AJ17" s="396" t="s">
        <v>253</v>
      </c>
      <c r="AK17" s="397">
        <v>189999700</v>
      </c>
      <c r="AL17" s="398">
        <v>3.53</v>
      </c>
      <c r="AM17" s="399" t="e">
        <f t="shared" si="0"/>
        <v>#DIV/0!</v>
      </c>
      <c r="AN17" s="399">
        <f>(AL17*AK17/(AK17+AK18+AK19))+(AL18*AK18/(AK17+AK18+AK19))+(AL19*AK19/(AK17+AK18+AK19))</f>
        <v>17.929695702793666</v>
      </c>
    </row>
    <row r="18" spans="1:40" ht="24" customHeight="1">
      <c r="A18" s="381" t="s">
        <v>23</v>
      </c>
      <c r="B18" s="382"/>
      <c r="C18" s="383"/>
      <c r="D18" s="383"/>
      <c r="E18" s="383"/>
      <c r="F18" s="383"/>
      <c r="G18" s="383"/>
      <c r="H18" s="762" t="s">
        <v>313</v>
      </c>
      <c r="I18" s="763"/>
      <c r="J18" s="763"/>
      <c r="K18" s="764"/>
      <c r="L18" s="384"/>
      <c r="M18" s="385"/>
      <c r="S18" s="368">
        <v>59800</v>
      </c>
      <c r="AI18" s="395"/>
      <c r="AJ18" s="396" t="s">
        <v>254</v>
      </c>
      <c r="AK18" s="397">
        <v>93741300</v>
      </c>
      <c r="AL18" s="398">
        <v>63.29</v>
      </c>
      <c r="AM18" s="399" t="e">
        <f t="shared" si="0"/>
        <v>#DIV/0!</v>
      </c>
      <c r="AN18" s="399"/>
    </row>
    <row r="19" spans="1:40" ht="24" customHeight="1">
      <c r="A19" s="381" t="s">
        <v>24</v>
      </c>
      <c r="B19" s="382"/>
      <c r="C19" s="383"/>
      <c r="D19" s="383"/>
      <c r="E19" s="383"/>
      <c r="F19" s="383"/>
      <c r="G19" s="383"/>
      <c r="H19" s="762" t="s">
        <v>272</v>
      </c>
      <c r="I19" s="763"/>
      <c r="J19" s="763"/>
      <c r="K19" s="764"/>
      <c r="L19" s="384"/>
      <c r="M19" s="385"/>
      <c r="S19" s="368">
        <v>709266</v>
      </c>
      <c r="AI19" s="395"/>
      <c r="AJ19" s="396" t="s">
        <v>255</v>
      </c>
      <c r="AK19" s="397">
        <v>84563400</v>
      </c>
      <c r="AL19" s="398">
        <v>0</v>
      </c>
      <c r="AM19" s="399" t="e">
        <f t="shared" si="0"/>
        <v>#DIV/0!</v>
      </c>
      <c r="AN19" s="399"/>
    </row>
    <row r="20" spans="1:40" ht="24" customHeight="1">
      <c r="A20" s="381"/>
      <c r="B20" s="382"/>
      <c r="C20" s="383"/>
      <c r="D20" s="383"/>
      <c r="E20" s="383"/>
      <c r="F20" s="383"/>
      <c r="G20" s="383"/>
      <c r="H20" s="565" t="s">
        <v>200</v>
      </c>
      <c r="I20" s="400" t="s">
        <v>56</v>
      </c>
      <c r="J20" s="472">
        <v>99.51</v>
      </c>
      <c r="K20" s="562" t="s">
        <v>51</v>
      </c>
      <c r="L20" s="384"/>
      <c r="M20" s="385"/>
      <c r="S20" s="368">
        <v>10951834</v>
      </c>
      <c r="W20" s="368">
        <v>304044</v>
      </c>
      <c r="X20" s="368">
        <v>12443540</v>
      </c>
      <c r="Z20" s="368">
        <v>12690293</v>
      </c>
      <c r="AD20" s="368">
        <v>16191016</v>
      </c>
      <c r="AI20" s="395">
        <v>10</v>
      </c>
      <c r="AJ20" s="396" t="s">
        <v>256</v>
      </c>
      <c r="AK20" s="397">
        <v>305794900</v>
      </c>
      <c r="AL20" s="398">
        <v>18.23</v>
      </c>
      <c r="AM20" s="399" t="e">
        <f t="shared" si="0"/>
        <v>#DIV/0!</v>
      </c>
      <c r="AN20" s="399">
        <f>(AL20*AK20/AK20)</f>
        <v>18.23</v>
      </c>
    </row>
    <row r="21" spans="1:40" ht="24" customHeight="1">
      <c r="A21" s="381"/>
      <c r="B21" s="382"/>
      <c r="C21" s="383"/>
      <c r="D21" s="383"/>
      <c r="E21" s="383"/>
      <c r="F21" s="383"/>
      <c r="G21" s="383"/>
      <c r="H21" s="424"/>
      <c r="I21" s="425"/>
      <c r="J21" s="425"/>
      <c r="K21" s="426"/>
      <c r="L21" s="384"/>
      <c r="M21" s="385"/>
      <c r="AI21" s="395"/>
      <c r="AJ21" s="396" t="s">
        <v>257</v>
      </c>
      <c r="AK21" s="397">
        <v>391412000</v>
      </c>
      <c r="AL21" s="398">
        <v>0</v>
      </c>
      <c r="AM21" s="399" t="e">
        <f t="shared" si="0"/>
        <v>#DIV/0!</v>
      </c>
      <c r="AN21" s="399"/>
    </row>
    <row r="22" spans="1:40" ht="24" customHeight="1">
      <c r="A22" s="379" t="s">
        <v>147</v>
      </c>
      <c r="B22" s="302">
        <v>5.45</v>
      </c>
      <c r="C22" s="405">
        <v>0.96</v>
      </c>
      <c r="D22" s="405">
        <v>0.97</v>
      </c>
      <c r="E22" s="405">
        <v>0.98</v>
      </c>
      <c r="F22" s="405">
        <v>0.99</v>
      </c>
      <c r="G22" s="405">
        <v>1</v>
      </c>
      <c r="H22" s="738" t="s">
        <v>300</v>
      </c>
      <c r="I22" s="739"/>
      <c r="J22" s="739"/>
      <c r="K22" s="740"/>
      <c r="L22" s="303">
        <f>ROUND(2+((J25-97)*1/1),4)</f>
        <v>5</v>
      </c>
      <c r="M22" s="380">
        <f>IF(L22=0,"-",ROUND(L22*B22/B$64,4))</f>
        <v>0.34849999999999998</v>
      </c>
      <c r="Q22" s="368" t="s">
        <v>164</v>
      </c>
      <c r="R22" s="368" t="s">
        <v>165</v>
      </c>
      <c r="S22" s="368" t="s">
        <v>166</v>
      </c>
      <c r="T22" s="368" t="s">
        <v>167</v>
      </c>
      <c r="U22" s="368" t="s">
        <v>168</v>
      </c>
      <c r="V22" s="368" t="s">
        <v>169</v>
      </c>
      <c r="W22" s="368" t="s">
        <v>170</v>
      </c>
      <c r="X22" s="368" t="s">
        <v>171</v>
      </c>
      <c r="Y22" s="368" t="s">
        <v>172</v>
      </c>
      <c r="Z22" s="368" t="s">
        <v>173</v>
      </c>
      <c r="AA22" s="368" t="s">
        <v>174</v>
      </c>
      <c r="AB22" s="368" t="s">
        <v>175</v>
      </c>
      <c r="AC22" s="368" t="s">
        <v>176</v>
      </c>
      <c r="AD22" s="368" t="s">
        <v>178</v>
      </c>
      <c r="AE22" s="368" t="s">
        <v>20</v>
      </c>
      <c r="AI22" s="395"/>
      <c r="AJ22" s="396" t="s">
        <v>258</v>
      </c>
      <c r="AK22" s="397">
        <v>72151000</v>
      </c>
      <c r="AL22" s="398">
        <v>20.47</v>
      </c>
      <c r="AM22" s="399" t="e">
        <f t="shared" si="0"/>
        <v>#DIV/0!</v>
      </c>
      <c r="AN22" s="399"/>
    </row>
    <row r="23" spans="1:40" ht="24" customHeight="1">
      <c r="A23" s="381" t="s">
        <v>26</v>
      </c>
      <c r="B23" s="382"/>
      <c r="C23" s="383"/>
      <c r="D23" s="383"/>
      <c r="E23" s="383"/>
      <c r="F23" s="383"/>
      <c r="G23" s="383"/>
      <c r="H23" s="765" t="s">
        <v>301</v>
      </c>
      <c r="I23" s="766"/>
      <c r="J23" s="766"/>
      <c r="K23" s="767"/>
      <c r="L23" s="384"/>
      <c r="M23" s="385"/>
      <c r="P23" s="368" t="s">
        <v>179</v>
      </c>
      <c r="Q23" s="368">
        <v>0</v>
      </c>
      <c r="R23" s="368">
        <v>54790426</v>
      </c>
      <c r="S23" s="368" t="e">
        <f>S25+#REF!+S26+#REF!+#REF!+#REF!+#REF!+#REF!</f>
        <v>#REF!</v>
      </c>
      <c r="T23" s="368">
        <v>15621046</v>
      </c>
      <c r="W23" s="368" t="e">
        <f>W25+#REF!</f>
        <v>#REF!</v>
      </c>
      <c r="X23" s="368" t="e">
        <f>X25+#REF!</f>
        <v>#REF!</v>
      </c>
      <c r="Y23" s="368">
        <v>3065219</v>
      </c>
      <c r="Z23" s="368" t="e">
        <f>Z25+#REF!</f>
        <v>#REF!</v>
      </c>
      <c r="AA23" s="368">
        <v>5762411</v>
      </c>
      <c r="AB23" s="368">
        <v>15507983</v>
      </c>
      <c r="AD23" s="368" t="e">
        <f>AD25+#REF!</f>
        <v>#REF!</v>
      </c>
      <c r="AE23" s="368" t="e">
        <f>Q23+R23+S23+T23+W23+X23+Y23+AA23+AB23+AD23</f>
        <v>#REF!</v>
      </c>
      <c r="AF23" s="368" t="e">
        <f>AE23/AE24*100</f>
        <v>#REF!</v>
      </c>
      <c r="AG23" s="368" t="e">
        <f>R23+T23+W23+X23+Y23+Z23+AA23+AB23+AD23</f>
        <v>#REF!</v>
      </c>
      <c r="AH23" s="368" t="e">
        <f>AG23/AG24*100</f>
        <v>#REF!</v>
      </c>
      <c r="AI23" s="395">
        <v>12</v>
      </c>
      <c r="AJ23" s="396" t="s">
        <v>259</v>
      </c>
      <c r="AK23" s="397">
        <v>232129108</v>
      </c>
      <c r="AL23" s="398">
        <v>8.2200000000000006</v>
      </c>
      <c r="AM23" s="399" t="e">
        <f t="shared" si="0"/>
        <v>#DIV/0!</v>
      </c>
      <c r="AN23" s="399">
        <f t="shared" si="1"/>
        <v>8.2200000000000006</v>
      </c>
    </row>
    <row r="24" spans="1:40" ht="24" customHeight="1">
      <c r="A24" s="381"/>
      <c r="B24" s="382"/>
      <c r="C24" s="383"/>
      <c r="D24" s="383"/>
      <c r="E24" s="383"/>
      <c r="F24" s="383"/>
      <c r="G24" s="383"/>
      <c r="H24" s="765" t="s">
        <v>302</v>
      </c>
      <c r="I24" s="766"/>
      <c r="J24" s="766"/>
      <c r="K24" s="767"/>
      <c r="L24" s="384"/>
      <c r="M24" s="385"/>
      <c r="P24" s="368" t="s">
        <v>177</v>
      </c>
      <c r="Q24" s="368">
        <v>0</v>
      </c>
      <c r="R24" s="368">
        <v>56733046</v>
      </c>
      <c r="S24" s="368" t="e">
        <f>#REF!+S20+S19+S18+S17+S16+#REF!+#REF!</f>
        <v>#REF!</v>
      </c>
      <c r="T24" s="368">
        <v>31415454</v>
      </c>
      <c r="W24" s="368" t="e">
        <f>#REF!+W20</f>
        <v>#REF!</v>
      </c>
      <c r="X24" s="368" t="e">
        <f>#REF!+X20</f>
        <v>#REF!</v>
      </c>
      <c r="Y24" s="368">
        <v>3065219</v>
      </c>
      <c r="Z24" s="368" t="e">
        <f>#REF!+Z20</f>
        <v>#REF!</v>
      </c>
      <c r="AA24" s="368">
        <v>5836386</v>
      </c>
      <c r="AB24" s="368">
        <v>15507983</v>
      </c>
      <c r="AD24" s="368" t="e">
        <f>#REF!+AD20</f>
        <v>#REF!</v>
      </c>
      <c r="AE24" s="368" t="e">
        <f>Q24+R24+S24+T24+W24+X24+Y24+Z24+AA24+AB24+AD24</f>
        <v>#REF!</v>
      </c>
      <c r="AG24" s="368" t="e">
        <f>R24+T24+W24+X24+Y24+Z24+AA24+AB24</f>
        <v>#REF!</v>
      </c>
      <c r="AI24" s="395">
        <v>13</v>
      </c>
      <c r="AJ24" s="396" t="s">
        <v>260</v>
      </c>
      <c r="AK24" s="397">
        <v>75897000</v>
      </c>
      <c r="AL24" s="398">
        <v>11.23</v>
      </c>
      <c r="AM24" s="399" t="e">
        <f t="shared" si="0"/>
        <v>#DIV/0!</v>
      </c>
      <c r="AN24" s="399" t="e">
        <f>(AL24*AK24/(AK24+AK25+#REF!))+(AL25*AK25/(AK24+AK25+#REF!))+(#REF!*#REF!/(AK24+AK25+#REF!))</f>
        <v>#REF!</v>
      </c>
    </row>
    <row r="25" spans="1:40" ht="24" customHeight="1">
      <c r="A25" s="381"/>
      <c r="B25" s="382"/>
      <c r="C25" s="383"/>
      <c r="D25" s="383"/>
      <c r="E25" s="383"/>
      <c r="F25" s="383"/>
      <c r="G25" s="383"/>
      <c r="H25" s="560"/>
      <c r="I25" s="400" t="s">
        <v>56</v>
      </c>
      <c r="J25" s="472">
        <v>100</v>
      </c>
      <c r="K25" s="562" t="s">
        <v>51</v>
      </c>
      <c r="L25" s="384"/>
      <c r="M25" s="385"/>
      <c r="S25" s="368">
        <v>5889465</v>
      </c>
      <c r="W25" s="368">
        <v>28318909</v>
      </c>
      <c r="X25" s="368">
        <v>45861247</v>
      </c>
      <c r="Z25" s="368">
        <v>117026964</v>
      </c>
      <c r="AD25" s="368">
        <v>7959313</v>
      </c>
      <c r="AI25" s="395"/>
      <c r="AJ25" s="396" t="s">
        <v>261</v>
      </c>
      <c r="AK25" s="397">
        <v>28808000</v>
      </c>
      <c r="AL25" s="398">
        <v>79.489999999999995</v>
      </c>
      <c r="AM25" s="399" t="e">
        <f t="shared" si="0"/>
        <v>#DIV/0!</v>
      </c>
      <c r="AN25" s="399"/>
    </row>
    <row r="26" spans="1:40" ht="24" customHeight="1">
      <c r="A26" s="507"/>
      <c r="B26" s="508"/>
      <c r="C26" s="509"/>
      <c r="D26" s="509"/>
      <c r="E26" s="509"/>
      <c r="F26" s="509"/>
      <c r="G26" s="509"/>
      <c r="H26" s="511"/>
      <c r="I26" s="519"/>
      <c r="J26" s="519"/>
      <c r="K26" s="520"/>
      <c r="L26" s="510"/>
      <c r="M26" s="376"/>
      <c r="R26" s="368">
        <f>R23/R24*100</f>
        <v>96.575858098646776</v>
      </c>
      <c r="S26" s="368">
        <v>673915</v>
      </c>
      <c r="AI26" s="771" t="s">
        <v>20</v>
      </c>
      <c r="AJ26" s="772"/>
      <c r="AK26" s="408">
        <f>SUM(AK9:AK25)</f>
        <v>4282472334</v>
      </c>
      <c r="AL26" s="409" t="e">
        <f>SUM(AM9:AM25)</f>
        <v>#DIV/0!</v>
      </c>
      <c r="AM26" s="399"/>
      <c r="AN26" s="399"/>
    </row>
    <row r="27" spans="1:40" ht="24" customHeight="1">
      <c r="A27" s="379" t="s">
        <v>160</v>
      </c>
      <c r="B27" s="302">
        <v>5.45</v>
      </c>
      <c r="C27" s="405">
        <v>0.5</v>
      </c>
      <c r="D27" s="405">
        <v>0.75</v>
      </c>
      <c r="E27" s="405">
        <v>1</v>
      </c>
      <c r="F27" s="405">
        <v>1</v>
      </c>
      <c r="G27" s="405">
        <v>1</v>
      </c>
      <c r="H27" s="738" t="s">
        <v>309</v>
      </c>
      <c r="I27" s="739"/>
      <c r="J27" s="739"/>
      <c r="K27" s="740"/>
      <c r="L27" s="303">
        <v>1</v>
      </c>
      <c r="M27" s="380">
        <f>IF(L27=0,"-",ROUND(L27*B27/B$64,4))</f>
        <v>6.9699999999999998E-2</v>
      </c>
      <c r="AI27" s="395">
        <v>9</v>
      </c>
      <c r="AJ27" s="396" t="s">
        <v>271</v>
      </c>
      <c r="AK27" s="397">
        <v>300000</v>
      </c>
      <c r="AL27" s="410">
        <v>0</v>
      </c>
      <c r="AM27" s="411"/>
      <c r="AN27" s="411">
        <f t="shared" ref="AN27:AN37" si="2">AL27*100/AK27</f>
        <v>0</v>
      </c>
    </row>
    <row r="28" spans="1:40" ht="24" customHeight="1">
      <c r="A28" s="381" t="s">
        <v>161</v>
      </c>
      <c r="B28" s="515"/>
      <c r="C28" s="516"/>
      <c r="D28" s="516"/>
      <c r="E28" s="516"/>
      <c r="F28" s="516" t="s">
        <v>70</v>
      </c>
      <c r="G28" s="516" t="s">
        <v>70</v>
      </c>
      <c r="H28" s="763" t="s">
        <v>213</v>
      </c>
      <c r="I28" s="763"/>
      <c r="J28" s="763"/>
      <c r="K28" s="764"/>
      <c r="L28" s="384"/>
      <c r="M28" s="385"/>
      <c r="AI28" s="395">
        <v>11</v>
      </c>
      <c r="AJ28" s="396" t="s">
        <v>273</v>
      </c>
      <c r="AK28" s="397">
        <v>500000</v>
      </c>
      <c r="AL28" s="410">
        <v>62536.11</v>
      </c>
      <c r="AM28" s="411"/>
      <c r="AN28" s="411">
        <f t="shared" si="2"/>
        <v>12.507222000000001</v>
      </c>
    </row>
    <row r="29" spans="1:40" ht="24" customHeight="1">
      <c r="A29" s="452" t="s">
        <v>310</v>
      </c>
      <c r="B29" s="515"/>
      <c r="C29" s="516"/>
      <c r="D29" s="516"/>
      <c r="E29" s="516"/>
      <c r="F29" s="516" t="s">
        <v>138</v>
      </c>
      <c r="G29" s="516" t="s">
        <v>139</v>
      </c>
      <c r="H29" s="565" t="s">
        <v>200</v>
      </c>
      <c r="I29" s="400" t="s">
        <v>56</v>
      </c>
      <c r="J29" s="472">
        <v>20</v>
      </c>
      <c r="K29" s="562" t="s">
        <v>51</v>
      </c>
      <c r="L29" s="384"/>
      <c r="M29" s="385"/>
      <c r="AI29" s="395"/>
      <c r="AJ29" s="396" t="s">
        <v>275</v>
      </c>
      <c r="AK29" s="397">
        <v>300000</v>
      </c>
      <c r="AL29" s="410">
        <v>57903.85</v>
      </c>
      <c r="AM29" s="411"/>
      <c r="AN29" s="411">
        <f t="shared" si="2"/>
        <v>19.301283333333334</v>
      </c>
    </row>
    <row r="30" spans="1:40" ht="24" customHeight="1">
      <c r="A30" s="507"/>
      <c r="B30" s="508"/>
      <c r="C30" s="509"/>
      <c r="D30" s="509"/>
      <c r="E30" s="509"/>
      <c r="F30" s="509"/>
      <c r="G30" s="509"/>
      <c r="H30" s="773"/>
      <c r="I30" s="774"/>
      <c r="J30" s="774"/>
      <c r="K30" s="775"/>
      <c r="L30" s="510"/>
      <c r="M30" s="376"/>
      <c r="AI30" s="395"/>
      <c r="AJ30" s="396" t="s">
        <v>276</v>
      </c>
      <c r="AK30" s="397">
        <v>300000</v>
      </c>
      <c r="AL30" s="410">
        <v>94848.7</v>
      </c>
      <c r="AM30" s="411"/>
      <c r="AN30" s="411">
        <f t="shared" si="2"/>
        <v>31.616233333333334</v>
      </c>
    </row>
    <row r="31" spans="1:40" ht="24" customHeight="1">
      <c r="A31" s="379" t="s">
        <v>149</v>
      </c>
      <c r="B31" s="302">
        <v>16.36</v>
      </c>
      <c r="C31" s="405">
        <v>0.75</v>
      </c>
      <c r="D31" s="405">
        <v>0.78</v>
      </c>
      <c r="E31" s="405">
        <v>0.81</v>
      </c>
      <c r="F31" s="405">
        <v>0.84</v>
      </c>
      <c r="G31" s="405">
        <v>0.87</v>
      </c>
      <c r="H31" s="738" t="s">
        <v>314</v>
      </c>
      <c r="I31" s="739"/>
      <c r="J31" s="739"/>
      <c r="K31" s="740"/>
      <c r="L31" s="303">
        <v>4.42</v>
      </c>
      <c r="M31" s="380">
        <f>IF(L31=0,"-",ROUND(L31*B31/B$64,4))</f>
        <v>0.92479999999999996</v>
      </c>
      <c r="AI31" s="395">
        <v>13</v>
      </c>
      <c r="AJ31" s="396" t="s">
        <v>281</v>
      </c>
      <c r="AK31" s="397">
        <v>300000</v>
      </c>
      <c r="AL31" s="410">
        <v>205897.2</v>
      </c>
      <c r="AM31" s="411"/>
      <c r="AN31" s="411">
        <f t="shared" si="2"/>
        <v>68.632400000000004</v>
      </c>
    </row>
    <row r="32" spans="1:40" ht="24" customHeight="1">
      <c r="A32" s="381" t="s">
        <v>137</v>
      </c>
      <c r="B32" s="382"/>
      <c r="C32" s="383"/>
      <c r="D32" s="383"/>
      <c r="E32" s="383"/>
      <c r="F32" s="383"/>
      <c r="G32" s="383"/>
      <c r="H32" s="762" t="s">
        <v>272</v>
      </c>
      <c r="I32" s="763"/>
      <c r="J32" s="763"/>
      <c r="K32" s="764"/>
      <c r="L32" s="384"/>
      <c r="M32" s="385"/>
      <c r="AI32" s="395"/>
      <c r="AJ32" s="396" t="s">
        <v>282</v>
      </c>
      <c r="AK32" s="397">
        <v>300000</v>
      </c>
      <c r="AL32" s="410">
        <v>100339.9</v>
      </c>
      <c r="AM32" s="411"/>
      <c r="AN32" s="411">
        <f t="shared" si="2"/>
        <v>33.446633333333331</v>
      </c>
    </row>
    <row r="33" spans="1:40" ht="24" customHeight="1">
      <c r="A33" s="381"/>
      <c r="B33" s="382"/>
      <c r="C33" s="383"/>
      <c r="D33" s="383"/>
      <c r="E33" s="383"/>
      <c r="F33" s="383"/>
      <c r="G33" s="383"/>
      <c r="H33" s="589"/>
      <c r="I33" s="589" t="s">
        <v>87</v>
      </c>
      <c r="J33" s="590">
        <v>526560500</v>
      </c>
      <c r="K33" s="562" t="s">
        <v>163</v>
      </c>
      <c r="L33" s="384"/>
      <c r="M33" s="385"/>
      <c r="AI33" s="395"/>
      <c r="AJ33" s="396" t="s">
        <v>283</v>
      </c>
      <c r="AK33" s="397">
        <v>300000</v>
      </c>
      <c r="AL33" s="410">
        <v>57000</v>
      </c>
      <c r="AM33" s="411"/>
      <c r="AN33" s="411">
        <f t="shared" si="2"/>
        <v>19</v>
      </c>
    </row>
    <row r="34" spans="1:40" ht="24" customHeight="1">
      <c r="A34" s="381"/>
      <c r="B34" s="382"/>
      <c r="C34" s="383"/>
      <c r="D34" s="383"/>
      <c r="E34" s="383"/>
      <c r="F34" s="383"/>
      <c r="G34" s="383"/>
      <c r="H34" s="589"/>
      <c r="I34" s="400" t="s">
        <v>195</v>
      </c>
      <c r="J34" s="591">
        <v>735246022</v>
      </c>
      <c r="K34" s="562" t="s">
        <v>163</v>
      </c>
      <c r="L34" s="384"/>
      <c r="M34" s="385"/>
      <c r="AI34" s="395"/>
      <c r="AJ34" s="396" t="s">
        <v>284</v>
      </c>
      <c r="AK34" s="397">
        <v>300000</v>
      </c>
      <c r="AL34" s="410">
        <v>54914.85</v>
      </c>
      <c r="AM34" s="411"/>
      <c r="AN34" s="411">
        <f t="shared" si="2"/>
        <v>18.304950000000002</v>
      </c>
    </row>
    <row r="35" spans="1:40" ht="24" customHeight="1">
      <c r="A35" s="381"/>
      <c r="B35" s="382"/>
      <c r="C35" s="383"/>
      <c r="D35" s="383"/>
      <c r="E35" s="383"/>
      <c r="F35" s="383"/>
      <c r="G35" s="383"/>
      <c r="H35" s="589"/>
      <c r="I35" s="400" t="s">
        <v>196</v>
      </c>
      <c r="J35" s="472">
        <v>85.26</v>
      </c>
      <c r="K35" s="562" t="s">
        <v>51</v>
      </c>
      <c r="L35" s="384"/>
      <c r="M35" s="385"/>
      <c r="AI35" s="395"/>
      <c r="AJ35" s="396" t="s">
        <v>285</v>
      </c>
      <c r="AK35" s="397">
        <v>300000</v>
      </c>
      <c r="AL35" s="410">
        <v>66279.649999999994</v>
      </c>
      <c r="AM35" s="411"/>
      <c r="AN35" s="411">
        <f t="shared" si="2"/>
        <v>22.093216666666663</v>
      </c>
    </row>
    <row r="36" spans="1:40" ht="24" customHeight="1">
      <c r="A36" s="507"/>
      <c r="B36" s="508"/>
      <c r="C36" s="509"/>
      <c r="D36" s="509"/>
      <c r="E36" s="509"/>
      <c r="F36" s="509"/>
      <c r="G36" s="509"/>
      <c r="H36" s="592"/>
      <c r="I36" s="519"/>
      <c r="J36" s="593"/>
      <c r="K36" s="520"/>
      <c r="L36" s="510"/>
      <c r="M36" s="376"/>
      <c r="AI36" s="395"/>
      <c r="AJ36" s="396" t="s">
        <v>286</v>
      </c>
      <c r="AK36" s="397">
        <v>500000</v>
      </c>
      <c r="AL36" s="410">
        <v>147338.20000000001</v>
      </c>
      <c r="AM36" s="411"/>
      <c r="AN36" s="411">
        <f t="shared" si="2"/>
        <v>29.467640000000003</v>
      </c>
    </row>
    <row r="37" spans="1:40" ht="24" customHeight="1">
      <c r="A37" s="379" t="s">
        <v>150</v>
      </c>
      <c r="B37" s="302">
        <v>1.87</v>
      </c>
      <c r="C37" s="405">
        <v>0.6</v>
      </c>
      <c r="D37" s="405">
        <v>0.65</v>
      </c>
      <c r="E37" s="405">
        <v>0.7</v>
      </c>
      <c r="F37" s="405">
        <v>0.75</v>
      </c>
      <c r="G37" s="405">
        <v>0.8</v>
      </c>
      <c r="H37" s="738" t="s">
        <v>222</v>
      </c>
      <c r="I37" s="739"/>
      <c r="J37" s="739"/>
      <c r="K37" s="740"/>
      <c r="L37" s="303">
        <v>5</v>
      </c>
      <c r="M37" s="380">
        <f>IF(L37=0,"-",ROUND(L37*B37/B$64,4))</f>
        <v>0.1196</v>
      </c>
      <c r="AI37" s="395"/>
      <c r="AJ37" s="396" t="s">
        <v>277</v>
      </c>
      <c r="AK37" s="397">
        <v>500000</v>
      </c>
      <c r="AL37" s="410">
        <v>150000</v>
      </c>
      <c r="AM37" s="411"/>
      <c r="AN37" s="411">
        <f t="shared" si="2"/>
        <v>30</v>
      </c>
    </row>
    <row r="38" spans="1:40" ht="24" customHeight="1">
      <c r="A38" s="381" t="s">
        <v>151</v>
      </c>
      <c r="B38" s="515"/>
      <c r="C38" s="594"/>
      <c r="D38" s="594"/>
      <c r="E38" s="594"/>
      <c r="F38" s="594"/>
      <c r="G38" s="594"/>
      <c r="H38" s="762" t="s">
        <v>223</v>
      </c>
      <c r="I38" s="763"/>
      <c r="J38" s="763"/>
      <c r="K38" s="764"/>
      <c r="L38" s="384"/>
      <c r="M38" s="385"/>
      <c r="AI38" s="395"/>
      <c r="AJ38" s="396"/>
      <c r="AK38" s="397" t="e">
        <f>#REF!+#REF!+#REF!+#REF!+#REF!+AK27+AK28+AK29+#REF!+AK30+AK31+AK32+AK33+AK34+AK35+AK36+AK37</f>
        <v>#REF!</v>
      </c>
      <c r="AL38" s="410" t="e">
        <f>#REF!+#REF!+#REF!+#REF!+#REF!+AL27+AL28+AL29+#REF!+AL30+AL31+AL32+AL33+AL34+AL35+AL36+AL37</f>
        <v>#REF!</v>
      </c>
      <c r="AM38" s="411"/>
      <c r="AN38" s="411" t="e">
        <f>AL38*100/AK38</f>
        <v>#REF!</v>
      </c>
    </row>
    <row r="39" spans="1:40" ht="24" customHeight="1">
      <c r="A39" s="381" t="s">
        <v>91</v>
      </c>
      <c r="B39" s="382"/>
      <c r="C39" s="383"/>
      <c r="D39" s="383"/>
      <c r="E39" s="383"/>
      <c r="F39" s="383"/>
      <c r="G39" s="383"/>
      <c r="H39" s="762" t="s">
        <v>224</v>
      </c>
      <c r="I39" s="763"/>
      <c r="J39" s="763"/>
      <c r="K39" s="764"/>
      <c r="L39" s="384"/>
      <c r="M39" s="385"/>
    </row>
    <row r="40" spans="1:40" ht="24" customHeight="1">
      <c r="A40" s="381"/>
      <c r="B40" s="382"/>
      <c r="C40" s="383"/>
      <c r="D40" s="383"/>
      <c r="E40" s="383"/>
      <c r="F40" s="383"/>
      <c r="G40" s="383"/>
      <c r="H40" s="565"/>
      <c r="I40" s="400" t="s">
        <v>97</v>
      </c>
      <c r="J40" s="532">
        <v>271</v>
      </c>
      <c r="K40" s="566" t="s">
        <v>96</v>
      </c>
      <c r="L40" s="384"/>
      <c r="M40" s="385"/>
    </row>
    <row r="41" spans="1:40" ht="24" customHeight="1">
      <c r="A41" s="381"/>
      <c r="B41" s="382"/>
      <c r="C41" s="383"/>
      <c r="D41" s="383"/>
      <c r="E41" s="383"/>
      <c r="F41" s="383"/>
      <c r="G41" s="383"/>
      <c r="H41" s="565"/>
      <c r="I41" s="400" t="s">
        <v>98</v>
      </c>
      <c r="J41" s="532">
        <v>271</v>
      </c>
      <c r="K41" s="566" t="s">
        <v>96</v>
      </c>
      <c r="L41" s="384"/>
      <c r="M41" s="385"/>
    </row>
    <row r="42" spans="1:40" ht="24" customHeight="1">
      <c r="A42" s="381"/>
      <c r="B42" s="382"/>
      <c r="C42" s="383"/>
      <c r="D42" s="383"/>
      <c r="E42" s="383"/>
      <c r="F42" s="383"/>
      <c r="G42" s="383"/>
      <c r="H42" s="560"/>
      <c r="I42" s="400" t="s">
        <v>35</v>
      </c>
      <c r="J42" s="486">
        <f>ROUND(J41*100/J40,2)</f>
        <v>100</v>
      </c>
      <c r="K42" s="562" t="s">
        <v>51</v>
      </c>
      <c r="L42" s="384"/>
      <c r="M42" s="385"/>
    </row>
    <row r="43" spans="1:40" ht="24" customHeight="1">
      <c r="A43" s="507"/>
      <c r="B43" s="508"/>
      <c r="C43" s="509"/>
      <c r="D43" s="509"/>
      <c r="E43" s="509"/>
      <c r="F43" s="509"/>
      <c r="G43" s="509"/>
      <c r="H43" s="595"/>
      <c r="I43" s="596"/>
      <c r="J43" s="596"/>
      <c r="K43" s="567"/>
      <c r="L43" s="510"/>
      <c r="M43" s="376"/>
    </row>
    <row r="44" spans="1:40" ht="24" customHeight="1">
      <c r="A44" s="597" t="s">
        <v>152</v>
      </c>
      <c r="B44" s="490">
        <v>5.45</v>
      </c>
      <c r="C44" s="598">
        <v>0.65</v>
      </c>
      <c r="D44" s="598">
        <v>0.7</v>
      </c>
      <c r="E44" s="598">
        <v>0.75</v>
      </c>
      <c r="F44" s="598">
        <v>0.8</v>
      </c>
      <c r="G44" s="598">
        <v>0.85</v>
      </c>
      <c r="H44" s="738" t="s">
        <v>225</v>
      </c>
      <c r="I44" s="739"/>
      <c r="J44" s="739"/>
      <c r="K44" s="740"/>
      <c r="L44" s="303">
        <v>4.7939999999999996</v>
      </c>
      <c r="M44" s="380">
        <f>IF(L44=0,"-",ROUND(L44*B44/B$64,4))</f>
        <v>0.3342</v>
      </c>
    </row>
    <row r="45" spans="1:40" ht="24" customHeight="1">
      <c r="A45" s="381" t="s">
        <v>153</v>
      </c>
      <c r="B45" s="382"/>
      <c r="C45" s="383"/>
      <c r="D45" s="383"/>
      <c r="E45" s="383"/>
      <c r="F45" s="383"/>
      <c r="G45" s="383"/>
      <c r="H45" s="762" t="s">
        <v>226</v>
      </c>
      <c r="I45" s="763"/>
      <c r="J45" s="763"/>
      <c r="K45" s="764"/>
      <c r="L45" s="384"/>
      <c r="M45" s="385"/>
    </row>
    <row r="46" spans="1:40" ht="24" customHeight="1">
      <c r="A46" s="599" t="s">
        <v>162</v>
      </c>
      <c r="B46" s="382"/>
      <c r="C46" s="383"/>
      <c r="D46" s="383"/>
      <c r="E46" s="383"/>
      <c r="F46" s="383"/>
      <c r="G46" s="383"/>
      <c r="H46" s="565" t="s">
        <v>200</v>
      </c>
      <c r="I46" s="600" t="s">
        <v>113</v>
      </c>
      <c r="J46" s="486">
        <v>83.97</v>
      </c>
      <c r="K46" s="562" t="s">
        <v>51</v>
      </c>
      <c r="L46" s="384"/>
      <c r="M46" s="385"/>
    </row>
    <row r="47" spans="1:40" ht="24" customHeight="1">
      <c r="A47" s="381"/>
      <c r="B47" s="382"/>
      <c r="C47" s="383"/>
      <c r="D47" s="383"/>
      <c r="E47" s="383"/>
      <c r="F47" s="383"/>
      <c r="G47" s="517"/>
      <c r="H47" s="601"/>
      <c r="I47" s="601"/>
      <c r="J47" s="601"/>
      <c r="K47" s="601"/>
      <c r="L47" s="384"/>
      <c r="M47" s="385"/>
    </row>
    <row r="48" spans="1:40" ht="24" customHeight="1">
      <c r="A48" s="379" t="s">
        <v>154</v>
      </c>
      <c r="B48" s="490">
        <v>5.45</v>
      </c>
      <c r="C48" s="496" t="s">
        <v>29</v>
      </c>
      <c r="D48" s="496" t="s">
        <v>30</v>
      </c>
      <c r="E48" s="496" t="s">
        <v>31</v>
      </c>
      <c r="F48" s="496" t="s">
        <v>32</v>
      </c>
      <c r="G48" s="496" t="s">
        <v>33</v>
      </c>
      <c r="H48" s="738" t="s">
        <v>227</v>
      </c>
      <c r="I48" s="739"/>
      <c r="J48" s="739"/>
      <c r="K48" s="740"/>
      <c r="L48" s="303">
        <v>1</v>
      </c>
      <c r="M48" s="380">
        <f>IF(L48=0,"-",ROUND(L48*B48/B$64,4))</f>
        <v>6.9699999999999998E-2</v>
      </c>
    </row>
    <row r="49" spans="1:34" ht="24" customHeight="1">
      <c r="A49" s="381" t="s">
        <v>107</v>
      </c>
      <c r="B49" s="382"/>
      <c r="C49" s="497">
        <v>1.5</v>
      </c>
      <c r="D49" s="497">
        <v>2</v>
      </c>
      <c r="E49" s="497">
        <v>2.5</v>
      </c>
      <c r="F49" s="497">
        <v>3</v>
      </c>
      <c r="G49" s="497">
        <v>5</v>
      </c>
      <c r="H49" s="762" t="s">
        <v>228</v>
      </c>
      <c r="I49" s="763"/>
      <c r="J49" s="763"/>
      <c r="K49" s="764"/>
      <c r="L49" s="384"/>
      <c r="M49" s="385"/>
    </row>
    <row r="50" spans="1:34" ht="24" customHeight="1">
      <c r="A50" s="452" t="s">
        <v>310</v>
      </c>
      <c r="B50" s="382"/>
      <c r="C50" s="517"/>
      <c r="D50" s="517"/>
      <c r="E50" s="517"/>
      <c r="F50" s="517"/>
      <c r="G50" s="517"/>
      <c r="H50" s="762" t="s">
        <v>213</v>
      </c>
      <c r="I50" s="763"/>
      <c r="J50" s="763"/>
      <c r="K50" s="764"/>
      <c r="L50" s="384"/>
      <c r="M50" s="385"/>
    </row>
    <row r="51" spans="1:34" ht="24" customHeight="1">
      <c r="A51" s="381"/>
      <c r="B51" s="382"/>
      <c r="C51" s="517"/>
      <c r="D51" s="517"/>
      <c r="E51" s="517"/>
      <c r="F51" s="517"/>
      <c r="G51" s="517"/>
      <c r="H51" s="560"/>
      <c r="I51" s="400" t="s">
        <v>112</v>
      </c>
      <c r="J51" s="472" t="s">
        <v>11</v>
      </c>
      <c r="K51" s="566"/>
      <c r="L51" s="384"/>
      <c r="M51" s="385"/>
    </row>
    <row r="52" spans="1:34" ht="24" customHeight="1">
      <c r="A52" s="507"/>
      <c r="B52" s="508"/>
      <c r="C52" s="509"/>
      <c r="D52" s="509"/>
      <c r="E52" s="509"/>
      <c r="F52" s="509"/>
      <c r="G52" s="509"/>
      <c r="H52" s="511"/>
      <c r="I52" s="519"/>
      <c r="J52" s="519"/>
      <c r="K52" s="520"/>
      <c r="L52" s="510"/>
      <c r="M52" s="376"/>
    </row>
    <row r="53" spans="1:34" ht="24" customHeight="1">
      <c r="A53" s="602" t="s">
        <v>155</v>
      </c>
      <c r="B53" s="490">
        <v>5.45</v>
      </c>
      <c r="C53" s="598">
        <v>0.1</v>
      </c>
      <c r="D53" s="598">
        <v>0.3</v>
      </c>
      <c r="E53" s="598">
        <v>0.5</v>
      </c>
      <c r="F53" s="598">
        <v>0.7</v>
      </c>
      <c r="G53" s="598">
        <v>1</v>
      </c>
      <c r="H53" s="738" t="s">
        <v>316</v>
      </c>
      <c r="I53" s="739"/>
      <c r="J53" s="739"/>
      <c r="K53" s="740"/>
      <c r="L53" s="303">
        <f>ROUND(4+((J56-70)*1/30),4)</f>
        <v>5</v>
      </c>
      <c r="M53" s="380">
        <f>IF(L53=0,"-",ROUND(L53*B53/B$64,4))</f>
        <v>0.34849999999999998</v>
      </c>
      <c r="Q53" s="368" t="s">
        <v>164</v>
      </c>
      <c r="R53" s="368" t="s">
        <v>165</v>
      </c>
      <c r="S53" s="368" t="s">
        <v>166</v>
      </c>
      <c r="T53" s="368" t="s">
        <v>180</v>
      </c>
      <c r="U53" s="368" t="s">
        <v>181</v>
      </c>
      <c r="V53" s="368" t="s">
        <v>278</v>
      </c>
      <c r="W53" s="368" t="s">
        <v>183</v>
      </c>
      <c r="X53" s="368" t="s">
        <v>184</v>
      </c>
      <c r="Y53" s="368" t="s">
        <v>185</v>
      </c>
      <c r="Z53" s="368" t="s">
        <v>186</v>
      </c>
      <c r="AA53" s="368" t="s">
        <v>187</v>
      </c>
      <c r="AB53" s="368" t="s">
        <v>188</v>
      </c>
      <c r="AC53" s="368" t="s">
        <v>189</v>
      </c>
      <c r="AD53" s="368" t="s">
        <v>190</v>
      </c>
      <c r="AE53" s="368" t="s">
        <v>191</v>
      </c>
      <c r="AF53" s="368" t="s">
        <v>192</v>
      </c>
      <c r="AG53" s="368" t="s">
        <v>193</v>
      </c>
      <c r="AH53" s="368" t="s">
        <v>20</v>
      </c>
    </row>
    <row r="54" spans="1:34" ht="24" customHeight="1">
      <c r="A54" s="603" t="s">
        <v>197</v>
      </c>
      <c r="B54" s="604"/>
      <c r="C54" s="383"/>
      <c r="D54" s="383"/>
      <c r="E54" s="383"/>
      <c r="F54" s="383"/>
      <c r="G54" s="406"/>
      <c r="H54" s="560" t="s">
        <v>317</v>
      </c>
      <c r="I54" s="501"/>
      <c r="J54" s="581"/>
      <c r="K54" s="582"/>
      <c r="L54" s="518"/>
      <c r="M54" s="385"/>
      <c r="Q54" s="368">
        <v>82</v>
      </c>
      <c r="R54" s="368">
        <v>100</v>
      </c>
      <c r="S54" s="368">
        <v>0</v>
      </c>
      <c r="T54" s="368">
        <v>82</v>
      </c>
      <c r="U54" s="368">
        <v>72</v>
      </c>
      <c r="V54" s="368">
        <v>81</v>
      </c>
      <c r="W54" s="368">
        <v>95</v>
      </c>
      <c r="X54" s="368">
        <v>72</v>
      </c>
      <c r="Y54" s="368">
        <v>80</v>
      </c>
      <c r="Z54" s="368">
        <v>76</v>
      </c>
      <c r="AA54" s="368">
        <v>76</v>
      </c>
      <c r="AB54" s="368">
        <v>86</v>
      </c>
      <c r="AC54" s="368">
        <v>76</v>
      </c>
      <c r="AD54" s="368">
        <v>70</v>
      </c>
      <c r="AE54" s="368">
        <v>100</v>
      </c>
      <c r="AF54" s="368">
        <v>72</v>
      </c>
      <c r="AG54" s="368">
        <v>95</v>
      </c>
      <c r="AH54" s="404">
        <f>(Q54+R54+S54+T54+U54+V54+W54+X54+Y54+Z54+AA54+AB54+AC54+AD54+AE54+AF54+AG54)/17</f>
        <v>77.352941176470594</v>
      </c>
    </row>
    <row r="55" spans="1:34" ht="24" customHeight="1">
      <c r="A55" s="452" t="s">
        <v>310</v>
      </c>
      <c r="B55" s="604"/>
      <c r="C55" s="383"/>
      <c r="D55" s="383"/>
      <c r="E55" s="383"/>
      <c r="F55" s="383"/>
      <c r="G55" s="383"/>
      <c r="H55" s="561" t="s">
        <v>231</v>
      </c>
      <c r="I55" s="501"/>
      <c r="J55" s="581"/>
      <c r="K55" s="582"/>
      <c r="L55" s="518"/>
      <c r="M55" s="385"/>
    </row>
    <row r="56" spans="1:34" ht="24" customHeight="1">
      <c r="A56" s="603"/>
      <c r="B56" s="604"/>
      <c r="C56" s="383"/>
      <c r="D56" s="383"/>
      <c r="E56" s="383"/>
      <c r="F56" s="383"/>
      <c r="G56" s="383"/>
      <c r="H56" s="560"/>
      <c r="I56" s="400" t="s">
        <v>114</v>
      </c>
      <c r="J56" s="545">
        <v>100</v>
      </c>
      <c r="K56" s="551" t="s">
        <v>51</v>
      </c>
      <c r="L56" s="518"/>
      <c r="M56" s="385"/>
      <c r="P56" s="305"/>
    </row>
    <row r="57" spans="1:34" ht="24" customHeight="1">
      <c r="A57" s="605"/>
      <c r="B57" s="606"/>
      <c r="C57" s="509"/>
      <c r="D57" s="509"/>
      <c r="E57" s="509"/>
      <c r="F57" s="509"/>
      <c r="G57" s="509"/>
      <c r="H57" s="512"/>
      <c r="I57" s="519"/>
      <c r="J57" s="519"/>
      <c r="K57" s="520"/>
      <c r="L57" s="607"/>
      <c r="M57" s="376"/>
    </row>
    <row r="58" spans="1:34" ht="24" customHeight="1">
      <c r="A58" s="379" t="s">
        <v>156</v>
      </c>
      <c r="B58" s="490">
        <v>5.45</v>
      </c>
      <c r="C58" s="498">
        <v>0.8</v>
      </c>
      <c r="D58" s="498">
        <v>0.85</v>
      </c>
      <c r="E58" s="498">
        <v>0.9</v>
      </c>
      <c r="F58" s="498">
        <v>0.95</v>
      </c>
      <c r="G58" s="498">
        <v>1</v>
      </c>
      <c r="H58" s="738" t="s">
        <v>318</v>
      </c>
      <c r="I58" s="739"/>
      <c r="J58" s="739"/>
      <c r="K58" s="740"/>
      <c r="L58" s="303">
        <f>ROUND(4+((J62-95)*1/5),4)</f>
        <v>4.9580000000000002</v>
      </c>
      <c r="M58" s="380">
        <f>IF(L58=0,"-",ROUND(L58*B58/B$64,4))</f>
        <v>0.34560000000000002</v>
      </c>
      <c r="R58" s="413"/>
    </row>
    <row r="59" spans="1:34" ht="24" customHeight="1">
      <c r="A59" s="381" t="s">
        <v>116</v>
      </c>
      <c r="B59" s="382"/>
      <c r="C59" s="497"/>
      <c r="D59" s="497"/>
      <c r="E59" s="497"/>
      <c r="F59" s="497"/>
      <c r="G59" s="497"/>
      <c r="H59" s="762" t="s">
        <v>319</v>
      </c>
      <c r="I59" s="763"/>
      <c r="J59" s="763"/>
      <c r="K59" s="764"/>
      <c r="L59" s="384"/>
      <c r="M59" s="385"/>
    </row>
    <row r="60" spans="1:34" ht="24" customHeight="1">
      <c r="A60" s="381" t="s">
        <v>310</v>
      </c>
      <c r="B60" s="382"/>
      <c r="C60" s="383"/>
      <c r="D60" s="383"/>
      <c r="E60" s="383"/>
      <c r="F60" s="383"/>
      <c r="G60" s="383"/>
      <c r="H60" s="762" t="s">
        <v>321</v>
      </c>
      <c r="I60" s="763"/>
      <c r="J60" s="763"/>
      <c r="K60" s="764"/>
      <c r="L60" s="384"/>
      <c r="M60" s="385"/>
      <c r="O60" s="375"/>
      <c r="P60" s="375"/>
      <c r="Q60" s="375"/>
      <c r="R60" s="375"/>
      <c r="S60" s="375"/>
      <c r="T60" s="375"/>
      <c r="U60" s="375"/>
      <c r="V60" s="375"/>
      <c r="W60" s="375"/>
      <c r="X60" s="375"/>
      <c r="Y60" s="375"/>
      <c r="Z60" s="375"/>
      <c r="AA60" s="375"/>
      <c r="AB60" s="375"/>
      <c r="AC60" s="375"/>
      <c r="AD60" s="375"/>
      <c r="AE60" s="375"/>
      <c r="AF60" s="375"/>
    </row>
    <row r="61" spans="1:34" ht="24" customHeight="1">
      <c r="A61" s="381"/>
      <c r="B61" s="382"/>
      <c r="C61" s="383"/>
      <c r="D61" s="383"/>
      <c r="E61" s="383"/>
      <c r="F61" s="383"/>
      <c r="G61" s="383"/>
      <c r="H61" s="560" t="s">
        <v>320</v>
      </c>
      <c r="I61" s="561"/>
      <c r="J61" s="561"/>
      <c r="K61" s="562"/>
      <c r="L61" s="384"/>
      <c r="M61" s="385"/>
      <c r="O61" s="414"/>
      <c r="P61" s="414"/>
      <c r="Q61" s="414"/>
      <c r="R61" s="414"/>
      <c r="S61" s="414"/>
      <c r="T61" s="414"/>
      <c r="U61" s="414"/>
      <c r="V61" s="414"/>
      <c r="W61" s="414"/>
      <c r="X61" s="414"/>
      <c r="Y61" s="414"/>
      <c r="Z61" s="414"/>
      <c r="AA61" s="414"/>
      <c r="AB61" s="414"/>
      <c r="AC61" s="414"/>
      <c r="AD61" s="414"/>
      <c r="AE61" s="414"/>
      <c r="AF61" s="414"/>
    </row>
    <row r="62" spans="1:34" ht="24" customHeight="1">
      <c r="A62" s="603"/>
      <c r="B62" s="604"/>
      <c r="C62" s="383"/>
      <c r="D62" s="383"/>
      <c r="E62" s="383"/>
      <c r="F62" s="383"/>
      <c r="G62" s="383"/>
      <c r="H62" s="560"/>
      <c r="I62" s="400" t="s">
        <v>114</v>
      </c>
      <c r="J62" s="545">
        <v>99.79</v>
      </c>
      <c r="K62" s="566" t="s">
        <v>51</v>
      </c>
      <c r="L62" s="518"/>
      <c r="M62" s="385"/>
    </row>
    <row r="63" spans="1:34" ht="24" customHeight="1">
      <c r="A63" s="381"/>
      <c r="B63" s="608"/>
      <c r="C63" s="383"/>
      <c r="D63" s="383"/>
      <c r="E63" s="383"/>
      <c r="F63" s="383"/>
      <c r="G63" s="517"/>
      <c r="H63" s="560"/>
      <c r="I63" s="601"/>
      <c r="J63" s="600"/>
      <c r="K63" s="566"/>
      <c r="L63" s="384"/>
      <c r="M63" s="385"/>
      <c r="O63" s="414"/>
      <c r="P63" s="414"/>
      <c r="Q63" s="414"/>
      <c r="R63" s="414"/>
      <c r="S63" s="414"/>
      <c r="T63" s="414"/>
      <c r="U63" s="414"/>
      <c r="V63" s="414"/>
      <c r="W63" s="414"/>
      <c r="X63" s="414"/>
      <c r="Y63" s="414"/>
      <c r="Z63" s="414"/>
      <c r="AA63" s="414"/>
      <c r="AB63" s="414"/>
      <c r="AC63" s="414"/>
      <c r="AD63" s="414"/>
      <c r="AE63" s="414"/>
      <c r="AF63" s="414"/>
    </row>
    <row r="64" spans="1:34" ht="24" customHeight="1">
      <c r="A64" s="415"/>
      <c r="B64" s="416">
        <f>SUM(B6:B63)</f>
        <v>78.190000000000012</v>
      </c>
      <c r="C64" s="417"/>
      <c r="D64" s="417"/>
      <c r="E64" s="417"/>
      <c r="F64" s="417"/>
      <c r="G64" s="418"/>
      <c r="H64" s="417"/>
      <c r="I64" s="417"/>
      <c r="J64" s="417"/>
      <c r="K64" s="417"/>
      <c r="L64" s="419" t="s">
        <v>140</v>
      </c>
      <c r="M64" s="420">
        <f>SUM(M6:M63)</f>
        <v>4.1612999999999998</v>
      </c>
      <c r="O64" s="414"/>
      <c r="P64" s="414"/>
      <c r="Q64" s="414"/>
      <c r="R64" s="414"/>
      <c r="S64" s="414"/>
      <c r="T64" s="414"/>
      <c r="U64" s="414"/>
      <c r="V64" s="414"/>
      <c r="W64" s="414"/>
      <c r="X64" s="414"/>
      <c r="Y64" s="414"/>
      <c r="Z64" s="414"/>
      <c r="AA64" s="414"/>
      <c r="AB64" s="414"/>
      <c r="AC64" s="414"/>
      <c r="AD64" s="414"/>
      <c r="AE64" s="414"/>
      <c r="AF64" s="414"/>
    </row>
    <row r="65" spans="1:32" ht="24" customHeight="1">
      <c r="O65" s="414"/>
      <c r="P65" s="414"/>
      <c r="Q65" s="414"/>
      <c r="R65" s="414"/>
      <c r="S65" s="414"/>
      <c r="T65" s="414"/>
      <c r="U65" s="414"/>
      <c r="V65" s="422"/>
      <c r="W65" s="414"/>
      <c r="X65" s="414"/>
      <c r="Y65" s="414"/>
      <c r="Z65" s="414"/>
      <c r="AA65" s="414"/>
      <c r="AB65" s="414"/>
      <c r="AC65" s="414"/>
      <c r="AD65" s="414"/>
      <c r="AE65" s="414"/>
      <c r="AF65" s="414"/>
    </row>
    <row r="66" spans="1:32" ht="24" customHeight="1">
      <c r="A66" s="423"/>
    </row>
    <row r="67" spans="1:32" ht="24" customHeight="1"/>
    <row r="68" spans="1:32" ht="24" customHeight="1"/>
    <row r="69" spans="1:32" ht="24" customHeight="1"/>
    <row r="70" spans="1:32" ht="24" customHeight="1"/>
    <row r="71" spans="1:32" ht="24" customHeight="1"/>
    <row r="72" spans="1:32" ht="24" customHeight="1"/>
    <row r="73" spans="1:32" ht="24" customHeight="1"/>
  </sheetData>
  <mergeCells count="37">
    <mergeCell ref="H60:K60"/>
    <mergeCell ref="H48:K48"/>
    <mergeCell ref="H49:K49"/>
    <mergeCell ref="H50:K50"/>
    <mergeCell ref="H53:K53"/>
    <mergeCell ref="H58:K58"/>
    <mergeCell ref="H59:K59"/>
    <mergeCell ref="H45:K45"/>
    <mergeCell ref="H24:K24"/>
    <mergeCell ref="AI26:AJ26"/>
    <mergeCell ref="H27:K27"/>
    <mergeCell ref="H28:K28"/>
    <mergeCell ref="H30:K30"/>
    <mergeCell ref="H31:K31"/>
    <mergeCell ref="H32:K32"/>
    <mergeCell ref="H37:K37"/>
    <mergeCell ref="H38:K38"/>
    <mergeCell ref="H39:K39"/>
    <mergeCell ref="H44:K44"/>
    <mergeCell ref="H23:K23"/>
    <mergeCell ref="H7:K7"/>
    <mergeCell ref="H8:K8"/>
    <mergeCell ref="H9:K9"/>
    <mergeCell ref="H11:K11"/>
    <mergeCell ref="H12:K12"/>
    <mergeCell ref="H13:K13"/>
    <mergeCell ref="H14:K14"/>
    <mergeCell ref="H17:K17"/>
    <mergeCell ref="H18:K18"/>
    <mergeCell ref="H19:K19"/>
    <mergeCell ref="H22:K22"/>
    <mergeCell ref="H6:K6"/>
    <mergeCell ref="A1:M1"/>
    <mergeCell ref="A2:M2"/>
    <mergeCell ref="C4:G4"/>
    <mergeCell ref="H4:K5"/>
    <mergeCell ref="L4:L5"/>
  </mergeCells>
  <printOptions horizontalCentered="1"/>
  <pageMargins left="0.25" right="0.25" top="0.75" bottom="0.75" header="0.3" footer="0.3"/>
  <pageSetup paperSize="9" scale="65" orientation="landscape" r:id="rId1"/>
  <headerFooter scaleWithDoc="0">
    <oddHeader>&amp;R&amp;"TH SarabunPSK,Regular"&amp;16&amp;P</oddHeader>
  </headerFooter>
  <rowBreaks count="2" manualBreakCount="2">
    <brk id="26" max="12" man="1"/>
    <brk id="43" max="12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N73"/>
  <sheetViews>
    <sheetView view="pageBreakPreview" zoomScaleNormal="90" zoomScaleSheetLayoutView="100" zoomScalePageLayoutView="50" workbookViewId="0">
      <selection activeCell="H8" sqref="H8:K8"/>
    </sheetView>
  </sheetViews>
  <sheetFormatPr defaultColWidth="9.140625" defaultRowHeight="21"/>
  <cols>
    <col min="1" max="1" width="38" style="368" customWidth="1"/>
    <col min="2" max="2" width="11.5703125" style="368" customWidth="1"/>
    <col min="3" max="3" width="9.85546875" style="368" customWidth="1"/>
    <col min="4" max="7" width="9.28515625" style="368" customWidth="1"/>
    <col min="8" max="8" width="9.85546875" style="368" customWidth="1"/>
    <col min="9" max="9" width="16.140625" style="368" customWidth="1"/>
    <col min="10" max="10" width="16.5703125" style="368" customWidth="1"/>
    <col min="11" max="11" width="33.85546875" style="368" customWidth="1"/>
    <col min="12" max="12" width="11.140625" style="421" customWidth="1"/>
    <col min="13" max="13" width="11.140625" style="368" customWidth="1"/>
    <col min="14" max="16" width="9.140625" style="368"/>
    <col min="17" max="17" width="12.42578125" style="368" bestFit="1" customWidth="1"/>
    <col min="18" max="20" width="11.5703125" style="368" bestFit="1" customWidth="1"/>
    <col min="21" max="21" width="9.140625" style="368"/>
    <col min="22" max="30" width="11.5703125" style="368" bestFit="1" customWidth="1"/>
    <col min="31" max="31" width="17.7109375" style="368" customWidth="1"/>
    <col min="32" max="32" width="9.28515625" style="368" bestFit="1" customWidth="1"/>
    <col min="33" max="33" width="11.28515625" style="368" bestFit="1" customWidth="1"/>
    <col min="34" max="35" width="9.140625" style="368"/>
    <col min="36" max="36" width="86.140625" style="368" bestFit="1" customWidth="1"/>
    <col min="37" max="37" width="19.28515625" style="368" bestFit="1" customWidth="1"/>
    <col min="38" max="38" width="15" style="368" bestFit="1" customWidth="1"/>
    <col min="39" max="39" width="10.42578125" style="368" bestFit="1" customWidth="1"/>
    <col min="40" max="16384" width="9.140625" style="368"/>
  </cols>
  <sheetData>
    <row r="1" spans="1:40" ht="24" customHeight="1">
      <c r="A1" s="752" t="s">
        <v>0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2" spans="1:40" ht="24" customHeight="1">
      <c r="A2" s="752" t="s">
        <v>322</v>
      </c>
      <c r="B2" s="753"/>
      <c r="C2" s="753"/>
      <c r="D2" s="753"/>
      <c r="E2" s="753"/>
      <c r="F2" s="753"/>
      <c r="G2" s="753"/>
      <c r="H2" s="753"/>
      <c r="I2" s="753"/>
      <c r="J2" s="753"/>
      <c r="K2" s="753"/>
      <c r="L2" s="753"/>
      <c r="M2" s="753"/>
    </row>
    <row r="3" spans="1:40" ht="24" customHeight="1">
      <c r="A3" s="369" t="s">
        <v>373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72" t="s">
        <v>237</v>
      </c>
    </row>
    <row r="4" spans="1:40" s="375" customFormat="1" ht="24" customHeight="1">
      <c r="A4" s="373" t="s">
        <v>1</v>
      </c>
      <c r="B4" s="373" t="s">
        <v>2</v>
      </c>
      <c r="C4" s="754" t="s">
        <v>3</v>
      </c>
      <c r="D4" s="754"/>
      <c r="E4" s="754"/>
      <c r="F4" s="754"/>
      <c r="G4" s="754"/>
      <c r="H4" s="755" t="s">
        <v>4</v>
      </c>
      <c r="I4" s="756"/>
      <c r="J4" s="756"/>
      <c r="K4" s="757"/>
      <c r="L4" s="776" t="s">
        <v>5</v>
      </c>
      <c r="M4" s="374" t="s">
        <v>6</v>
      </c>
    </row>
    <row r="5" spans="1:40" s="375" customFormat="1" ht="24" customHeight="1">
      <c r="A5" s="376" t="s">
        <v>7</v>
      </c>
      <c r="B5" s="376" t="s">
        <v>8</v>
      </c>
      <c r="C5" s="377">
        <v>1</v>
      </c>
      <c r="D5" s="377">
        <v>2</v>
      </c>
      <c r="E5" s="377">
        <v>3</v>
      </c>
      <c r="F5" s="377">
        <v>4</v>
      </c>
      <c r="G5" s="377">
        <v>5</v>
      </c>
      <c r="H5" s="758"/>
      <c r="I5" s="759"/>
      <c r="J5" s="759"/>
      <c r="K5" s="760"/>
      <c r="L5" s="776"/>
      <c r="M5" s="378" t="s">
        <v>9</v>
      </c>
    </row>
    <row r="6" spans="1:40" ht="24" customHeight="1">
      <c r="A6" s="379" t="s">
        <v>159</v>
      </c>
      <c r="B6" s="302">
        <v>5.45</v>
      </c>
      <c r="C6" s="506">
        <v>0.65</v>
      </c>
      <c r="D6" s="506">
        <v>0.7</v>
      </c>
      <c r="E6" s="506">
        <v>0.75</v>
      </c>
      <c r="F6" s="506">
        <v>0.8</v>
      </c>
      <c r="G6" s="506">
        <v>0.85</v>
      </c>
      <c r="H6" s="738" t="s">
        <v>203</v>
      </c>
      <c r="I6" s="739"/>
      <c r="J6" s="739"/>
      <c r="K6" s="740"/>
      <c r="L6" s="303">
        <v>4.8520000000000003</v>
      </c>
      <c r="M6" s="380">
        <f>IF(L6=0,"-",ROUND(L6*B6/B$64,4))</f>
        <v>0.3382</v>
      </c>
    </row>
    <row r="7" spans="1:40" ht="24" customHeight="1">
      <c r="A7" s="381" t="s">
        <v>144</v>
      </c>
      <c r="B7" s="382"/>
      <c r="C7" s="383"/>
      <c r="D7" s="383"/>
      <c r="E7" s="383"/>
      <c r="F7" s="383"/>
      <c r="G7" s="383"/>
      <c r="H7" s="762" t="s">
        <v>365</v>
      </c>
      <c r="I7" s="763"/>
      <c r="J7" s="763"/>
      <c r="K7" s="764"/>
      <c r="L7" s="384"/>
      <c r="M7" s="385"/>
      <c r="N7" s="375" t="s">
        <v>238</v>
      </c>
      <c r="O7" s="386" t="s">
        <v>164</v>
      </c>
      <c r="P7" s="375" t="s">
        <v>165</v>
      </c>
      <c r="Q7" s="375" t="s">
        <v>166</v>
      </c>
      <c r="R7" s="386" t="s">
        <v>167</v>
      </c>
      <c r="S7" s="386" t="s">
        <v>168</v>
      </c>
      <c r="T7" s="386" t="s">
        <v>169</v>
      </c>
      <c r="U7" s="386" t="s">
        <v>170</v>
      </c>
      <c r="V7" s="386" t="s">
        <v>171</v>
      </c>
      <c r="W7" s="375" t="s">
        <v>172</v>
      </c>
      <c r="X7" s="386" t="s">
        <v>173</v>
      </c>
      <c r="Y7" s="386" t="s">
        <v>174</v>
      </c>
      <c r="Z7" s="375" t="s">
        <v>175</v>
      </c>
      <c r="AA7" s="386" t="s">
        <v>176</v>
      </c>
      <c r="AB7" s="386" t="s">
        <v>178</v>
      </c>
      <c r="AC7" s="375" t="s">
        <v>192</v>
      </c>
      <c r="AD7" s="375" t="s">
        <v>239</v>
      </c>
      <c r="AE7" s="375" t="s">
        <v>240</v>
      </c>
    </row>
    <row r="8" spans="1:40" ht="24" customHeight="1">
      <c r="A8" s="381"/>
      <c r="B8" s="382"/>
      <c r="C8" s="383"/>
      <c r="D8" s="383"/>
      <c r="E8" s="383"/>
      <c r="F8" s="383"/>
      <c r="G8" s="383"/>
      <c r="H8" s="762" t="s">
        <v>204</v>
      </c>
      <c r="I8" s="763"/>
      <c r="J8" s="763"/>
      <c r="K8" s="764"/>
      <c r="L8" s="384"/>
      <c r="M8" s="385"/>
      <c r="AI8" s="387" t="s">
        <v>241</v>
      </c>
      <c r="AJ8" s="388" t="s">
        <v>14</v>
      </c>
      <c r="AK8" s="389" t="s">
        <v>242</v>
      </c>
      <c r="AL8" s="390" t="s">
        <v>243</v>
      </c>
      <c r="AM8" s="391"/>
      <c r="AN8" s="391" t="s">
        <v>244</v>
      </c>
    </row>
    <row r="9" spans="1:40" ht="24" customHeight="1">
      <c r="A9" s="381"/>
      <c r="B9" s="382"/>
      <c r="C9" s="383"/>
      <c r="D9" s="383"/>
      <c r="E9" s="383"/>
      <c r="F9" s="383"/>
      <c r="G9" s="383"/>
      <c r="H9" s="762" t="s">
        <v>205</v>
      </c>
      <c r="I9" s="763"/>
      <c r="J9" s="763"/>
      <c r="K9" s="764"/>
      <c r="L9" s="384"/>
      <c r="M9" s="385"/>
      <c r="N9" s="392">
        <f>SUM(O9:AB9)</f>
        <v>2754.9592476500002</v>
      </c>
      <c r="O9" s="393">
        <v>63.05</v>
      </c>
      <c r="P9" s="393">
        <v>363.36509999999998</v>
      </c>
      <c r="Q9" s="393">
        <v>157.61449099999999</v>
      </c>
      <c r="R9" s="393">
        <v>122.296868</v>
      </c>
      <c r="S9" s="393"/>
      <c r="T9" s="393">
        <v>687.09411299999999</v>
      </c>
      <c r="U9" s="394">
        <v>432.493359</v>
      </c>
      <c r="V9" s="393"/>
      <c r="W9" s="393">
        <v>567.82270000000005</v>
      </c>
      <c r="X9" s="393">
        <v>128.228759</v>
      </c>
      <c r="Y9" s="393">
        <v>39.988</v>
      </c>
      <c r="AA9" s="326">
        <v>103.4341</v>
      </c>
      <c r="AB9" s="393">
        <v>89.571757649999995</v>
      </c>
      <c r="AC9" s="368">
        <f>SUM(O9:AB9)</f>
        <v>2754.9592476500002</v>
      </c>
      <c r="AE9" s="368">
        <f>AC9</f>
        <v>2754.9592476500002</v>
      </c>
      <c r="AI9" s="395">
        <v>1</v>
      </c>
      <c r="AJ9" s="396" t="s">
        <v>245</v>
      </c>
      <c r="AK9" s="397">
        <v>172677500</v>
      </c>
      <c r="AL9" s="398">
        <v>13.36</v>
      </c>
      <c r="AM9" s="399" t="e">
        <f t="shared" ref="AM9:AM25" si="0">AL9*AK9/$C$13</f>
        <v>#DIV/0!</v>
      </c>
      <c r="AN9" s="399">
        <f>AL9*AK9/AK9</f>
        <v>13.36</v>
      </c>
    </row>
    <row r="10" spans="1:40" ht="24" customHeight="1">
      <c r="A10" s="381"/>
      <c r="B10" s="382"/>
      <c r="C10" s="383"/>
      <c r="D10" s="383"/>
      <c r="E10" s="383"/>
      <c r="F10" s="383"/>
      <c r="G10" s="383"/>
      <c r="I10" s="400" t="s">
        <v>54</v>
      </c>
      <c r="J10" s="472">
        <v>84.26</v>
      </c>
      <c r="K10" s="562" t="s">
        <v>51</v>
      </c>
      <c r="L10" s="384"/>
      <c r="M10" s="385"/>
      <c r="N10" s="368">
        <f>(O10*O9+P10*P9+Q10*Q9+R10*R9+S10*S9+T10*T9+U10*U9+V10*V9+W10*W9+X10*X9+Y10*Y9+Z10*Z9+AA10*AA9+AB10*AB9)/N9</f>
        <v>84.754654906071266</v>
      </c>
      <c r="O10" s="393">
        <v>100</v>
      </c>
      <c r="P10" s="393">
        <v>63.46</v>
      </c>
      <c r="Q10" s="393">
        <v>51.39</v>
      </c>
      <c r="R10" s="393">
        <v>100</v>
      </c>
      <c r="S10" s="393"/>
      <c r="T10" s="393">
        <v>100</v>
      </c>
      <c r="U10" s="393">
        <v>98.85</v>
      </c>
      <c r="V10" s="393"/>
      <c r="W10" s="401">
        <v>77.599999999999994</v>
      </c>
      <c r="X10" s="393">
        <v>66.87</v>
      </c>
      <c r="Y10" s="393">
        <v>100</v>
      </c>
      <c r="AA10" s="393">
        <v>71.75</v>
      </c>
      <c r="AB10" s="393">
        <v>92.47</v>
      </c>
      <c r="AC10" s="402">
        <f>J10</f>
        <v>84.26</v>
      </c>
      <c r="AE10" s="402">
        <f>J10</f>
        <v>84.26</v>
      </c>
      <c r="AI10" s="395">
        <v>2</v>
      </c>
      <c r="AJ10" s="396" t="s">
        <v>246</v>
      </c>
      <c r="AK10" s="397">
        <v>525283600</v>
      </c>
      <c r="AL10" s="398">
        <v>35.229999999999997</v>
      </c>
      <c r="AM10" s="399" t="e">
        <f t="shared" si="0"/>
        <v>#DIV/0!</v>
      </c>
      <c r="AN10" s="399">
        <f t="shared" ref="AN10:AN16" si="1">(AL10*AK10/AK10)</f>
        <v>35.229999999999997</v>
      </c>
    </row>
    <row r="11" spans="1:40" ht="24" customHeight="1">
      <c r="A11" s="507"/>
      <c r="B11" s="508"/>
      <c r="C11" s="509"/>
      <c r="D11" s="509"/>
      <c r="E11" s="509"/>
      <c r="F11" s="509"/>
      <c r="G11" s="509"/>
      <c r="H11" s="768"/>
      <c r="I11" s="769"/>
      <c r="J11" s="769"/>
      <c r="K11" s="770"/>
      <c r="L11" s="510"/>
      <c r="M11" s="376"/>
      <c r="AE11" s="368" t="s">
        <v>20</v>
      </c>
      <c r="AI11" s="395"/>
      <c r="AJ11" s="396" t="s">
        <v>247</v>
      </c>
      <c r="AK11" s="397">
        <v>63771100</v>
      </c>
      <c r="AL11" s="398">
        <v>0.28000000000000003</v>
      </c>
      <c r="AM11" s="399" t="e">
        <f t="shared" si="0"/>
        <v>#DIV/0!</v>
      </c>
      <c r="AN11" s="399"/>
    </row>
    <row r="12" spans="1:40" ht="24" customHeight="1">
      <c r="A12" s="379" t="s">
        <v>145</v>
      </c>
      <c r="B12" s="302">
        <v>16.36</v>
      </c>
      <c r="C12" s="506">
        <v>0.69</v>
      </c>
      <c r="D12" s="506">
        <v>0.72</v>
      </c>
      <c r="E12" s="506">
        <v>0.75</v>
      </c>
      <c r="F12" s="506">
        <v>0.78</v>
      </c>
      <c r="G12" s="506">
        <v>0.81</v>
      </c>
      <c r="H12" s="739" t="s">
        <v>206</v>
      </c>
      <c r="I12" s="739"/>
      <c r="J12" s="739"/>
      <c r="K12" s="740"/>
      <c r="L12" s="303">
        <v>1</v>
      </c>
      <c r="M12" s="380">
        <f>IF(L12=0,"-",ROUND(L12*B12/B$64,4))</f>
        <v>0.2092</v>
      </c>
      <c r="P12" s="368" t="s">
        <v>177</v>
      </c>
      <c r="Q12" s="368">
        <v>88227925</v>
      </c>
      <c r="R12" s="368">
        <v>454314777</v>
      </c>
      <c r="S12" s="368">
        <v>163703662</v>
      </c>
      <c r="T12" s="368">
        <v>340069114</v>
      </c>
      <c r="V12" s="368">
        <v>145609485</v>
      </c>
      <c r="W12" s="368">
        <v>376474997</v>
      </c>
      <c r="X12" s="368">
        <v>154664423</v>
      </c>
      <c r="Y12" s="368">
        <v>364453100</v>
      </c>
      <c r="Z12" s="368">
        <v>301496841</v>
      </c>
      <c r="AA12" s="368">
        <v>117859601</v>
      </c>
      <c r="AB12" s="368">
        <v>103922683</v>
      </c>
      <c r="AC12" s="368">
        <v>110709100</v>
      </c>
      <c r="AD12" s="368">
        <v>396724840</v>
      </c>
      <c r="AE12" s="368">
        <f>Q12+R12+S12+T12+V12+W12+X12+Y12+Z12+AA12+AB12+AC12+AD12</f>
        <v>3118230548</v>
      </c>
      <c r="AI12" s="395"/>
      <c r="AJ12" s="396" t="s">
        <v>248</v>
      </c>
      <c r="AK12" s="397">
        <v>85121200</v>
      </c>
      <c r="AL12" s="398">
        <v>2.0499999999999998</v>
      </c>
      <c r="AM12" s="399" t="e">
        <f t="shared" si="0"/>
        <v>#DIV/0!</v>
      </c>
      <c r="AN12" s="399"/>
    </row>
    <row r="13" spans="1:40" ht="24" customHeight="1">
      <c r="A13" s="381" t="s">
        <v>21</v>
      </c>
      <c r="B13" s="382"/>
      <c r="C13" s="383"/>
      <c r="D13" s="383"/>
      <c r="E13" s="383"/>
      <c r="F13" s="383"/>
      <c r="G13" s="383"/>
      <c r="H13" s="762" t="s">
        <v>207</v>
      </c>
      <c r="I13" s="763"/>
      <c r="J13" s="763"/>
      <c r="K13" s="764"/>
      <c r="L13" s="384"/>
      <c r="M13" s="385"/>
      <c r="P13" s="368" t="s">
        <v>179</v>
      </c>
      <c r="Q13" s="368">
        <v>62767727</v>
      </c>
      <c r="R13" s="368">
        <v>213672936</v>
      </c>
      <c r="S13" s="368">
        <v>25795924</v>
      </c>
      <c r="T13" s="368">
        <v>114556854</v>
      </c>
      <c r="V13" s="368">
        <v>128932639</v>
      </c>
      <c r="W13" s="368">
        <v>336587666</v>
      </c>
      <c r="X13" s="368">
        <v>52373847</v>
      </c>
      <c r="Y13" s="368">
        <v>90762837</v>
      </c>
      <c r="Z13" s="368">
        <v>241819557</v>
      </c>
      <c r="AA13" s="368">
        <v>53872593</v>
      </c>
      <c r="AB13" s="368">
        <v>20156387</v>
      </c>
      <c r="AC13" s="368">
        <v>73919342</v>
      </c>
      <c r="AD13" s="368">
        <v>64957443</v>
      </c>
      <c r="AE13" s="403">
        <f>Q13+R13+S13+T13+V13+W13+X13+Y13+Z13+AA13+AB13+AC13+AD13</f>
        <v>1480175752</v>
      </c>
      <c r="AI13" s="395"/>
      <c r="AJ13" s="396" t="s">
        <v>249</v>
      </c>
      <c r="AK13" s="397">
        <v>115875000</v>
      </c>
      <c r="AL13" s="398">
        <v>0</v>
      </c>
      <c r="AM13" s="399" t="e">
        <f t="shared" si="0"/>
        <v>#DIV/0!</v>
      </c>
      <c r="AN13" s="399"/>
    </row>
    <row r="14" spans="1:40" ht="24" customHeight="1">
      <c r="A14" s="381"/>
      <c r="B14" s="382"/>
      <c r="C14" s="383"/>
      <c r="D14" s="383"/>
      <c r="E14" s="383"/>
      <c r="F14" s="383"/>
      <c r="G14" s="383"/>
      <c r="H14" s="762" t="s">
        <v>299</v>
      </c>
      <c r="I14" s="763"/>
      <c r="J14" s="763"/>
      <c r="K14" s="764"/>
      <c r="L14" s="384"/>
      <c r="M14" s="385"/>
      <c r="P14" s="368" t="s">
        <v>194</v>
      </c>
      <c r="Q14" s="368">
        <v>19.71</v>
      </c>
      <c r="R14" s="368">
        <v>38.619999999999997</v>
      </c>
      <c r="S14" s="368">
        <v>5.8</v>
      </c>
      <c r="T14" s="368">
        <v>21.95</v>
      </c>
      <c r="AE14" s="404">
        <f>(AE13/AE12)*100</f>
        <v>47.468451393030229</v>
      </c>
      <c r="AI14" s="395">
        <v>4</v>
      </c>
      <c r="AJ14" s="396" t="s">
        <v>250</v>
      </c>
      <c r="AK14" s="397">
        <v>1039701600</v>
      </c>
      <c r="AL14" s="398">
        <v>5.62</v>
      </c>
      <c r="AM14" s="399" t="e">
        <f t="shared" si="0"/>
        <v>#DIV/0!</v>
      </c>
      <c r="AN14" s="399">
        <f t="shared" si="1"/>
        <v>5.62</v>
      </c>
    </row>
    <row r="15" spans="1:40" ht="24" customHeight="1">
      <c r="A15" s="381"/>
      <c r="B15" s="382"/>
      <c r="C15" s="383"/>
      <c r="D15" s="383"/>
      <c r="E15" s="383"/>
      <c r="F15" s="383"/>
      <c r="G15" s="383"/>
      <c r="H15" s="565"/>
      <c r="I15" s="400" t="s">
        <v>199</v>
      </c>
      <c r="J15" s="472">
        <v>46.62</v>
      </c>
      <c r="K15" s="562" t="s">
        <v>51</v>
      </c>
      <c r="L15" s="384"/>
      <c r="M15" s="385"/>
      <c r="Q15" s="368">
        <f>(Q12*Q14)/AE12</f>
        <v>0.55767922704283635</v>
      </c>
      <c r="R15" s="368">
        <f>(R12*R14)/AE12</f>
        <v>5.6267926369310901</v>
      </c>
      <c r="S15" s="368">
        <f>(S12*S14)/AE12</f>
        <v>0.3044935982071586</v>
      </c>
      <c r="T15" s="368">
        <f>(T12*T14)/AE12</f>
        <v>2.3938310325026038</v>
      </c>
      <c r="V15" s="368">
        <f>(V12*V14)/AE12</f>
        <v>0</v>
      </c>
      <c r="W15" s="368">
        <f>(W12*W14)/AE12</f>
        <v>0</v>
      </c>
      <c r="X15" s="368">
        <f>(X12*X14)/AE12</f>
        <v>0</v>
      </c>
      <c r="Y15" s="368">
        <f>(Y12*Y14)/AE12</f>
        <v>0</v>
      </c>
      <c r="Z15" s="368">
        <f>(Z12*Z14)/AE12</f>
        <v>0</v>
      </c>
      <c r="AA15" s="368">
        <f>(AA12*AA14)/AE12</f>
        <v>0</v>
      </c>
      <c r="AB15" s="368">
        <f>(AB12*AB14)/AE12</f>
        <v>0</v>
      </c>
      <c r="AC15" s="368">
        <f>(AC12*AC14)/AE12</f>
        <v>0</v>
      </c>
      <c r="AD15" s="368">
        <f>(AD12*AD14)/AE12</f>
        <v>0</v>
      </c>
      <c r="AE15" s="368">
        <f>(Q15+R15+S15+T15+V15+W15+X15+Y15+Z15+AA15+AB15+AC15+AD15)/AE12</f>
        <v>2.8486657281903096E-9</v>
      </c>
      <c r="AI15" s="395">
        <v>5</v>
      </c>
      <c r="AJ15" s="396" t="s">
        <v>251</v>
      </c>
      <c r="AK15" s="397">
        <v>636679600</v>
      </c>
      <c r="AL15" s="398">
        <v>13.07</v>
      </c>
      <c r="AM15" s="399" t="e">
        <f t="shared" si="0"/>
        <v>#DIV/0!</v>
      </c>
      <c r="AN15" s="399">
        <f t="shared" si="1"/>
        <v>13.07</v>
      </c>
    </row>
    <row r="16" spans="1:40" ht="24" customHeight="1">
      <c r="A16" s="507"/>
      <c r="B16" s="508"/>
      <c r="C16" s="509"/>
      <c r="D16" s="509"/>
      <c r="E16" s="509"/>
      <c r="F16" s="509"/>
      <c r="G16" s="509"/>
      <c r="H16" s="511"/>
      <c r="I16" s="512"/>
      <c r="J16" s="513"/>
      <c r="K16" s="514"/>
      <c r="L16" s="510"/>
      <c r="M16" s="376"/>
      <c r="S16" s="368">
        <v>278676</v>
      </c>
      <c r="AI16" s="395">
        <v>8</v>
      </c>
      <c r="AJ16" s="396" t="s">
        <v>252</v>
      </c>
      <c r="AK16" s="397">
        <v>168866326</v>
      </c>
      <c r="AL16" s="398">
        <v>25.53</v>
      </c>
      <c r="AM16" s="399" t="e">
        <f t="shared" si="0"/>
        <v>#DIV/0!</v>
      </c>
      <c r="AN16" s="399">
        <f t="shared" si="1"/>
        <v>25.529999999999998</v>
      </c>
    </row>
    <row r="17" spans="1:40" ht="24" customHeight="1">
      <c r="A17" s="379" t="s">
        <v>146</v>
      </c>
      <c r="B17" s="302">
        <v>5.45</v>
      </c>
      <c r="C17" s="405">
        <v>0.92</v>
      </c>
      <c r="D17" s="405">
        <v>0.94</v>
      </c>
      <c r="E17" s="405">
        <v>0.96</v>
      </c>
      <c r="F17" s="405">
        <v>0.98</v>
      </c>
      <c r="G17" s="405">
        <v>1</v>
      </c>
      <c r="H17" s="738" t="s">
        <v>312</v>
      </c>
      <c r="I17" s="739"/>
      <c r="J17" s="739"/>
      <c r="K17" s="740"/>
      <c r="L17" s="303">
        <v>4.9550000000000001</v>
      </c>
      <c r="M17" s="380">
        <f>IF(L17=0,"-",ROUND(L17*B17/B$64,4))</f>
        <v>0.34539999999999998</v>
      </c>
      <c r="S17" s="368">
        <v>6516821</v>
      </c>
      <c r="AI17" s="395">
        <v>9</v>
      </c>
      <c r="AJ17" s="396" t="s">
        <v>253</v>
      </c>
      <c r="AK17" s="397">
        <v>189999700</v>
      </c>
      <c r="AL17" s="398">
        <v>3.53</v>
      </c>
      <c r="AM17" s="399" t="e">
        <f t="shared" si="0"/>
        <v>#DIV/0!</v>
      </c>
      <c r="AN17" s="399">
        <f>(AL17*AK17/(AK17+AK18+AK19))+(AL18*AK18/(AK17+AK18+AK19))+(AL19*AK19/(AK17+AK18+AK19))</f>
        <v>17.929695702793666</v>
      </c>
    </row>
    <row r="18" spans="1:40" ht="24" customHeight="1">
      <c r="A18" s="381" t="s">
        <v>23</v>
      </c>
      <c r="B18" s="382"/>
      <c r="C18" s="383"/>
      <c r="D18" s="383"/>
      <c r="E18" s="383"/>
      <c r="F18" s="383"/>
      <c r="G18" s="383"/>
      <c r="H18" s="762" t="s">
        <v>313</v>
      </c>
      <c r="I18" s="763"/>
      <c r="J18" s="763"/>
      <c r="K18" s="764"/>
      <c r="L18" s="384"/>
      <c r="M18" s="385"/>
      <c r="S18" s="368">
        <v>59800</v>
      </c>
      <c r="AI18" s="395"/>
      <c r="AJ18" s="396" t="s">
        <v>254</v>
      </c>
      <c r="AK18" s="397">
        <v>93741300</v>
      </c>
      <c r="AL18" s="398">
        <v>63.29</v>
      </c>
      <c r="AM18" s="399" t="e">
        <f t="shared" si="0"/>
        <v>#DIV/0!</v>
      </c>
      <c r="AN18" s="399"/>
    </row>
    <row r="19" spans="1:40" ht="24" customHeight="1">
      <c r="A19" s="381" t="s">
        <v>24</v>
      </c>
      <c r="B19" s="382"/>
      <c r="C19" s="383"/>
      <c r="D19" s="383"/>
      <c r="E19" s="383"/>
      <c r="F19" s="383"/>
      <c r="G19" s="383"/>
      <c r="H19" s="762" t="s">
        <v>272</v>
      </c>
      <c r="I19" s="763"/>
      <c r="J19" s="763"/>
      <c r="K19" s="764"/>
      <c r="L19" s="384"/>
      <c r="M19" s="385"/>
      <c r="S19" s="368">
        <v>709266</v>
      </c>
      <c r="AI19" s="395"/>
      <c r="AJ19" s="396" t="s">
        <v>255</v>
      </c>
      <c r="AK19" s="397">
        <v>84563400</v>
      </c>
      <c r="AL19" s="398">
        <v>0</v>
      </c>
      <c r="AM19" s="399" t="e">
        <f t="shared" si="0"/>
        <v>#DIV/0!</v>
      </c>
      <c r="AN19" s="399"/>
    </row>
    <row r="20" spans="1:40" ht="24" customHeight="1">
      <c r="A20" s="381"/>
      <c r="B20" s="382"/>
      <c r="C20" s="383"/>
      <c r="D20" s="383"/>
      <c r="E20" s="383"/>
      <c r="F20" s="383"/>
      <c r="G20" s="383"/>
      <c r="H20" s="565" t="s">
        <v>200</v>
      </c>
      <c r="I20" s="400" t="s">
        <v>56</v>
      </c>
      <c r="J20" s="472">
        <v>99.91</v>
      </c>
      <c r="K20" s="562" t="s">
        <v>51</v>
      </c>
      <c r="L20" s="384"/>
      <c r="M20" s="385"/>
      <c r="S20" s="368">
        <v>10951834</v>
      </c>
      <c r="W20" s="368">
        <v>304044</v>
      </c>
      <c r="X20" s="368">
        <v>12443540</v>
      </c>
      <c r="Z20" s="368">
        <v>12690293</v>
      </c>
      <c r="AD20" s="368">
        <v>16191016</v>
      </c>
      <c r="AI20" s="395">
        <v>10</v>
      </c>
      <c r="AJ20" s="396" t="s">
        <v>256</v>
      </c>
      <c r="AK20" s="397">
        <v>305794900</v>
      </c>
      <c r="AL20" s="398">
        <v>18.23</v>
      </c>
      <c r="AM20" s="399" t="e">
        <f t="shared" si="0"/>
        <v>#DIV/0!</v>
      </c>
      <c r="AN20" s="399">
        <f>(AL20*AK20/AK20)</f>
        <v>18.23</v>
      </c>
    </row>
    <row r="21" spans="1:40" ht="24" customHeight="1">
      <c r="A21" s="381"/>
      <c r="B21" s="382"/>
      <c r="C21" s="383"/>
      <c r="D21" s="383"/>
      <c r="E21" s="383"/>
      <c r="F21" s="383"/>
      <c r="G21" s="383"/>
      <c r="H21" s="424"/>
      <c r="I21" s="425"/>
      <c r="J21" s="425"/>
      <c r="K21" s="426"/>
      <c r="L21" s="384"/>
      <c r="M21" s="385"/>
      <c r="AI21" s="395"/>
      <c r="AJ21" s="396" t="s">
        <v>257</v>
      </c>
      <c r="AK21" s="397">
        <v>391412000</v>
      </c>
      <c r="AL21" s="398">
        <v>0</v>
      </c>
      <c r="AM21" s="399" t="e">
        <f t="shared" si="0"/>
        <v>#DIV/0!</v>
      </c>
      <c r="AN21" s="399"/>
    </row>
    <row r="22" spans="1:40" ht="24" customHeight="1">
      <c r="A22" s="379" t="s">
        <v>147</v>
      </c>
      <c r="B22" s="302">
        <v>5.45</v>
      </c>
      <c r="C22" s="405">
        <v>0.96</v>
      </c>
      <c r="D22" s="405">
        <v>0.97</v>
      </c>
      <c r="E22" s="405">
        <v>0.98</v>
      </c>
      <c r="F22" s="405">
        <v>0.99</v>
      </c>
      <c r="G22" s="405">
        <v>1</v>
      </c>
      <c r="H22" s="738" t="s">
        <v>300</v>
      </c>
      <c r="I22" s="739"/>
      <c r="J22" s="739"/>
      <c r="K22" s="740"/>
      <c r="L22" s="303">
        <f>ROUND(2+((J25-97)*1/1),4)</f>
        <v>5</v>
      </c>
      <c r="M22" s="380">
        <f>IF(L22=0,"-",ROUND(L22*B22/B$64,4))</f>
        <v>0.34849999999999998</v>
      </c>
      <c r="Q22" s="368" t="s">
        <v>164</v>
      </c>
      <c r="R22" s="368" t="s">
        <v>165</v>
      </c>
      <c r="S22" s="368" t="s">
        <v>166</v>
      </c>
      <c r="T22" s="368" t="s">
        <v>167</v>
      </c>
      <c r="U22" s="368" t="s">
        <v>168</v>
      </c>
      <c r="V22" s="368" t="s">
        <v>169</v>
      </c>
      <c r="W22" s="368" t="s">
        <v>170</v>
      </c>
      <c r="X22" s="368" t="s">
        <v>171</v>
      </c>
      <c r="Y22" s="368" t="s">
        <v>172</v>
      </c>
      <c r="Z22" s="368" t="s">
        <v>173</v>
      </c>
      <c r="AA22" s="368" t="s">
        <v>174</v>
      </c>
      <c r="AB22" s="368" t="s">
        <v>175</v>
      </c>
      <c r="AC22" s="368" t="s">
        <v>176</v>
      </c>
      <c r="AD22" s="368" t="s">
        <v>178</v>
      </c>
      <c r="AE22" s="368" t="s">
        <v>20</v>
      </c>
      <c r="AI22" s="395"/>
      <c r="AJ22" s="396" t="s">
        <v>258</v>
      </c>
      <c r="AK22" s="397">
        <v>72151000</v>
      </c>
      <c r="AL22" s="398">
        <v>20.47</v>
      </c>
      <c r="AM22" s="399" t="e">
        <f t="shared" si="0"/>
        <v>#DIV/0!</v>
      </c>
      <c r="AN22" s="399"/>
    </row>
    <row r="23" spans="1:40" ht="24" customHeight="1">
      <c r="A23" s="381" t="s">
        <v>26</v>
      </c>
      <c r="B23" s="382"/>
      <c r="C23" s="383"/>
      <c r="D23" s="383"/>
      <c r="E23" s="383"/>
      <c r="F23" s="383"/>
      <c r="G23" s="383"/>
      <c r="H23" s="765" t="s">
        <v>301</v>
      </c>
      <c r="I23" s="766"/>
      <c r="J23" s="766"/>
      <c r="K23" s="767"/>
      <c r="L23" s="384"/>
      <c r="M23" s="385"/>
      <c r="P23" s="368" t="s">
        <v>179</v>
      </c>
      <c r="Q23" s="368">
        <v>0</v>
      </c>
      <c r="R23" s="368">
        <v>54790426</v>
      </c>
      <c r="S23" s="368" t="e">
        <f>S25+#REF!+S26+#REF!+#REF!+#REF!+#REF!+#REF!</f>
        <v>#REF!</v>
      </c>
      <c r="T23" s="368">
        <v>15621046</v>
      </c>
      <c r="W23" s="368" t="e">
        <f>W25+#REF!</f>
        <v>#REF!</v>
      </c>
      <c r="X23" s="368" t="e">
        <f>X25+#REF!</f>
        <v>#REF!</v>
      </c>
      <c r="Y23" s="368">
        <v>3065219</v>
      </c>
      <c r="Z23" s="368" t="e">
        <f>Z25+#REF!</f>
        <v>#REF!</v>
      </c>
      <c r="AA23" s="368">
        <v>5762411</v>
      </c>
      <c r="AB23" s="368">
        <v>15507983</v>
      </c>
      <c r="AD23" s="368" t="e">
        <f>AD25+#REF!</f>
        <v>#REF!</v>
      </c>
      <c r="AE23" s="368" t="e">
        <f>Q23+R23+S23+T23+W23+X23+Y23+AA23+AB23+AD23</f>
        <v>#REF!</v>
      </c>
      <c r="AF23" s="368" t="e">
        <f>AE23/AE24*100</f>
        <v>#REF!</v>
      </c>
      <c r="AG23" s="368" t="e">
        <f>R23+T23+W23+X23+Y23+Z23+AA23+AB23+AD23</f>
        <v>#REF!</v>
      </c>
      <c r="AH23" s="368" t="e">
        <f>AG23/AG24*100</f>
        <v>#REF!</v>
      </c>
      <c r="AI23" s="395">
        <v>12</v>
      </c>
      <c r="AJ23" s="396" t="s">
        <v>259</v>
      </c>
      <c r="AK23" s="397">
        <v>232129108</v>
      </c>
      <c r="AL23" s="398">
        <v>8.2200000000000006</v>
      </c>
      <c r="AM23" s="399" t="e">
        <f t="shared" si="0"/>
        <v>#DIV/0!</v>
      </c>
      <c r="AN23" s="399">
        <f t="shared" ref="AN23" si="2">(AL23*AK23/AK23)</f>
        <v>8.2200000000000006</v>
      </c>
    </row>
    <row r="24" spans="1:40" ht="24" customHeight="1">
      <c r="A24" s="381"/>
      <c r="B24" s="382"/>
      <c r="C24" s="383"/>
      <c r="D24" s="383"/>
      <c r="E24" s="383"/>
      <c r="F24" s="383"/>
      <c r="G24" s="383"/>
      <c r="H24" s="765" t="s">
        <v>302</v>
      </c>
      <c r="I24" s="766"/>
      <c r="J24" s="766"/>
      <c r="K24" s="767"/>
      <c r="L24" s="384"/>
      <c r="M24" s="385"/>
      <c r="P24" s="368" t="s">
        <v>177</v>
      </c>
      <c r="Q24" s="368">
        <v>0</v>
      </c>
      <c r="R24" s="368">
        <v>56733046</v>
      </c>
      <c r="S24" s="368" t="e">
        <f>#REF!+S20+S19+S18+S17+S16+#REF!+#REF!</f>
        <v>#REF!</v>
      </c>
      <c r="T24" s="368">
        <v>31415454</v>
      </c>
      <c r="W24" s="368" t="e">
        <f>#REF!+W20</f>
        <v>#REF!</v>
      </c>
      <c r="X24" s="368" t="e">
        <f>#REF!+X20</f>
        <v>#REF!</v>
      </c>
      <c r="Y24" s="368">
        <v>3065219</v>
      </c>
      <c r="Z24" s="368" t="e">
        <f>#REF!+Z20</f>
        <v>#REF!</v>
      </c>
      <c r="AA24" s="368">
        <v>5836386</v>
      </c>
      <c r="AB24" s="368">
        <v>15507983</v>
      </c>
      <c r="AD24" s="368" t="e">
        <f>#REF!+AD20</f>
        <v>#REF!</v>
      </c>
      <c r="AE24" s="368" t="e">
        <f>Q24+R24+S24+T24+W24+X24+Y24+Z24+AA24+AB24+AD24</f>
        <v>#REF!</v>
      </c>
      <c r="AG24" s="368" t="e">
        <f>R24+T24+W24+X24+Y24+Z24+AA24+AB24</f>
        <v>#REF!</v>
      </c>
      <c r="AI24" s="395">
        <v>13</v>
      </c>
      <c r="AJ24" s="396" t="s">
        <v>260</v>
      </c>
      <c r="AK24" s="397">
        <v>75897000</v>
      </c>
      <c r="AL24" s="398">
        <v>11.23</v>
      </c>
      <c r="AM24" s="399" t="e">
        <f t="shared" si="0"/>
        <v>#DIV/0!</v>
      </c>
      <c r="AN24" s="399" t="e">
        <f>(AL24*AK24/(AK24+AK25+#REF!))+(AL25*AK25/(AK24+AK25+#REF!))+(#REF!*#REF!/(AK24+AK25+#REF!))</f>
        <v>#REF!</v>
      </c>
    </row>
    <row r="25" spans="1:40" ht="24" customHeight="1">
      <c r="A25" s="381"/>
      <c r="B25" s="382"/>
      <c r="C25" s="383"/>
      <c r="D25" s="383"/>
      <c r="E25" s="383"/>
      <c r="F25" s="383"/>
      <c r="G25" s="383"/>
      <c r="H25" s="560"/>
      <c r="I25" s="400" t="s">
        <v>56</v>
      </c>
      <c r="J25" s="472">
        <v>100</v>
      </c>
      <c r="K25" s="562" t="s">
        <v>51</v>
      </c>
      <c r="L25" s="384"/>
      <c r="M25" s="385"/>
      <c r="S25" s="368">
        <v>5889465</v>
      </c>
      <c r="W25" s="368">
        <v>28318909</v>
      </c>
      <c r="X25" s="368">
        <v>45861247</v>
      </c>
      <c r="Z25" s="368">
        <v>117026964</v>
      </c>
      <c r="AD25" s="368">
        <v>7959313</v>
      </c>
      <c r="AI25" s="395"/>
      <c r="AJ25" s="396" t="s">
        <v>261</v>
      </c>
      <c r="AK25" s="397">
        <v>28808000</v>
      </c>
      <c r="AL25" s="398">
        <v>79.489999999999995</v>
      </c>
      <c r="AM25" s="399" t="e">
        <f t="shared" si="0"/>
        <v>#DIV/0!</v>
      </c>
      <c r="AN25" s="399"/>
    </row>
    <row r="26" spans="1:40" ht="24" customHeight="1">
      <c r="A26" s="507"/>
      <c r="B26" s="508"/>
      <c r="C26" s="509"/>
      <c r="D26" s="509"/>
      <c r="E26" s="509"/>
      <c r="F26" s="509"/>
      <c r="G26" s="509"/>
      <c r="H26" s="511"/>
      <c r="I26" s="519"/>
      <c r="J26" s="519"/>
      <c r="K26" s="520"/>
      <c r="L26" s="510"/>
      <c r="M26" s="376"/>
      <c r="R26" s="368">
        <f>R23/R24*100</f>
        <v>96.575858098646776</v>
      </c>
      <c r="S26" s="368">
        <v>673915</v>
      </c>
      <c r="AI26" s="777" t="s">
        <v>20</v>
      </c>
      <c r="AJ26" s="778"/>
      <c r="AK26" s="408">
        <f>SUM(AK9:AK25)</f>
        <v>4282472334</v>
      </c>
      <c r="AL26" s="409" t="e">
        <f>SUM(AM9:AM25)</f>
        <v>#DIV/0!</v>
      </c>
      <c r="AM26" s="399"/>
      <c r="AN26" s="399"/>
    </row>
    <row r="27" spans="1:40" ht="24" customHeight="1">
      <c r="A27" s="379" t="s">
        <v>160</v>
      </c>
      <c r="B27" s="302">
        <v>5.45</v>
      </c>
      <c r="C27" s="405">
        <v>0.5</v>
      </c>
      <c r="D27" s="405">
        <v>0.75</v>
      </c>
      <c r="E27" s="405">
        <v>1</v>
      </c>
      <c r="F27" s="405">
        <v>1</v>
      </c>
      <c r="G27" s="405">
        <v>1</v>
      </c>
      <c r="H27" s="738" t="s">
        <v>309</v>
      </c>
      <c r="I27" s="739"/>
      <c r="J27" s="739"/>
      <c r="K27" s="740"/>
      <c r="L27" s="303">
        <v>1</v>
      </c>
      <c r="M27" s="380">
        <f>IF(L27=0,"-",ROUND(L27*B27/B$64,4))</f>
        <v>6.9699999999999998E-2</v>
      </c>
      <c r="AI27" s="395">
        <v>9</v>
      </c>
      <c r="AJ27" s="396" t="s">
        <v>271</v>
      </c>
      <c r="AK27" s="397">
        <v>300000</v>
      </c>
      <c r="AL27" s="410">
        <v>0</v>
      </c>
      <c r="AM27" s="411"/>
      <c r="AN27" s="411">
        <f t="shared" ref="AN27:AN37" si="3">AL27*100/AK27</f>
        <v>0</v>
      </c>
    </row>
    <row r="28" spans="1:40" ht="24" customHeight="1">
      <c r="A28" s="381" t="s">
        <v>161</v>
      </c>
      <c r="B28" s="515"/>
      <c r="C28" s="516"/>
      <c r="D28" s="516"/>
      <c r="E28" s="516"/>
      <c r="F28" s="516" t="s">
        <v>70</v>
      </c>
      <c r="G28" s="516" t="s">
        <v>70</v>
      </c>
      <c r="H28" s="763" t="s">
        <v>213</v>
      </c>
      <c r="I28" s="763"/>
      <c r="J28" s="763"/>
      <c r="K28" s="764"/>
      <c r="L28" s="384"/>
      <c r="M28" s="385"/>
      <c r="AI28" s="395">
        <v>11</v>
      </c>
      <c r="AJ28" s="396" t="s">
        <v>273</v>
      </c>
      <c r="AK28" s="397">
        <v>500000</v>
      </c>
      <c r="AL28" s="410">
        <v>62536.11</v>
      </c>
      <c r="AM28" s="411"/>
      <c r="AN28" s="411">
        <f t="shared" si="3"/>
        <v>12.507222000000001</v>
      </c>
    </row>
    <row r="29" spans="1:40" ht="24" customHeight="1">
      <c r="A29" s="381" t="s">
        <v>310</v>
      </c>
      <c r="B29" s="515"/>
      <c r="C29" s="516"/>
      <c r="D29" s="516"/>
      <c r="E29" s="516"/>
      <c r="F29" s="516" t="s">
        <v>138</v>
      </c>
      <c r="G29" s="516" t="s">
        <v>139</v>
      </c>
      <c r="H29" s="565" t="s">
        <v>200</v>
      </c>
      <c r="I29" s="400" t="s">
        <v>56</v>
      </c>
      <c r="J29" s="472">
        <v>0</v>
      </c>
      <c r="K29" s="562" t="s">
        <v>51</v>
      </c>
      <c r="L29" s="384"/>
      <c r="M29" s="385"/>
      <c r="AI29" s="395"/>
      <c r="AJ29" s="396" t="s">
        <v>275</v>
      </c>
      <c r="AK29" s="397">
        <v>300000</v>
      </c>
      <c r="AL29" s="410">
        <v>57903.85</v>
      </c>
      <c r="AM29" s="411"/>
      <c r="AN29" s="411">
        <f t="shared" si="3"/>
        <v>19.301283333333334</v>
      </c>
    </row>
    <row r="30" spans="1:40" ht="24" customHeight="1">
      <c r="A30" s="507"/>
      <c r="B30" s="508"/>
      <c r="C30" s="509"/>
      <c r="D30" s="509"/>
      <c r="E30" s="509"/>
      <c r="F30" s="509"/>
      <c r="G30" s="509"/>
      <c r="H30" s="773"/>
      <c r="I30" s="774"/>
      <c r="J30" s="774"/>
      <c r="K30" s="775"/>
      <c r="L30" s="510"/>
      <c r="M30" s="376"/>
      <c r="AI30" s="395"/>
      <c r="AJ30" s="396" t="s">
        <v>276</v>
      </c>
      <c r="AK30" s="397">
        <v>300000</v>
      </c>
      <c r="AL30" s="410">
        <v>94848.7</v>
      </c>
      <c r="AM30" s="411"/>
      <c r="AN30" s="411">
        <f t="shared" si="3"/>
        <v>31.616233333333334</v>
      </c>
    </row>
    <row r="31" spans="1:40" ht="24" customHeight="1">
      <c r="A31" s="379" t="s">
        <v>149</v>
      </c>
      <c r="B31" s="302">
        <v>16.36</v>
      </c>
      <c r="C31" s="405">
        <v>0.75</v>
      </c>
      <c r="D31" s="405">
        <v>0.78</v>
      </c>
      <c r="E31" s="405">
        <v>0.81</v>
      </c>
      <c r="F31" s="405">
        <v>0.84</v>
      </c>
      <c r="G31" s="405">
        <v>0.87</v>
      </c>
      <c r="H31" s="738" t="s">
        <v>303</v>
      </c>
      <c r="I31" s="739"/>
      <c r="J31" s="739"/>
      <c r="K31" s="740"/>
      <c r="L31" s="303">
        <v>1</v>
      </c>
      <c r="M31" s="380">
        <f>IF(L31=0,"-",ROUND(L31*B31/B$64,4))</f>
        <v>0.2092</v>
      </c>
      <c r="AI31" s="395">
        <v>13</v>
      </c>
      <c r="AJ31" s="396" t="s">
        <v>281</v>
      </c>
      <c r="AK31" s="397">
        <v>300000</v>
      </c>
      <c r="AL31" s="410">
        <v>205897.2</v>
      </c>
      <c r="AM31" s="411"/>
      <c r="AN31" s="411">
        <f t="shared" si="3"/>
        <v>68.632400000000004</v>
      </c>
    </row>
    <row r="32" spans="1:40" ht="24" customHeight="1">
      <c r="A32" s="381" t="s">
        <v>137</v>
      </c>
      <c r="B32" s="382"/>
      <c r="C32" s="383"/>
      <c r="D32" s="383"/>
      <c r="E32" s="383"/>
      <c r="F32" s="383"/>
      <c r="G32" s="383"/>
      <c r="H32" s="762" t="s">
        <v>272</v>
      </c>
      <c r="I32" s="763"/>
      <c r="J32" s="763"/>
      <c r="K32" s="764"/>
      <c r="L32" s="384"/>
      <c r="M32" s="385"/>
      <c r="AI32" s="395"/>
      <c r="AJ32" s="396" t="s">
        <v>282</v>
      </c>
      <c r="AK32" s="397">
        <v>300000</v>
      </c>
      <c r="AL32" s="410">
        <v>100339.9</v>
      </c>
      <c r="AM32" s="411"/>
      <c r="AN32" s="411">
        <f t="shared" si="3"/>
        <v>33.446633333333331</v>
      </c>
    </row>
    <row r="33" spans="1:40" ht="24" customHeight="1">
      <c r="A33" s="381"/>
      <c r="B33" s="382"/>
      <c r="C33" s="383"/>
      <c r="D33" s="383"/>
      <c r="E33" s="383"/>
      <c r="F33" s="383"/>
      <c r="G33" s="383"/>
      <c r="H33" s="589"/>
      <c r="I33" s="589" t="s">
        <v>87</v>
      </c>
      <c r="J33" s="590">
        <v>298586500</v>
      </c>
      <c r="K33" s="562" t="s">
        <v>163</v>
      </c>
      <c r="L33" s="384"/>
      <c r="M33" s="385"/>
      <c r="AI33" s="395"/>
      <c r="AJ33" s="396" t="s">
        <v>283</v>
      </c>
      <c r="AK33" s="397">
        <v>300000</v>
      </c>
      <c r="AL33" s="410">
        <v>57000</v>
      </c>
      <c r="AM33" s="411"/>
      <c r="AN33" s="411">
        <f t="shared" si="3"/>
        <v>19</v>
      </c>
    </row>
    <row r="34" spans="1:40" ht="24" customHeight="1">
      <c r="A34" s="381"/>
      <c r="B34" s="382"/>
      <c r="C34" s="383"/>
      <c r="D34" s="383"/>
      <c r="E34" s="383"/>
      <c r="F34" s="383"/>
      <c r="G34" s="383"/>
      <c r="H34" s="589"/>
      <c r="I34" s="400" t="s">
        <v>195</v>
      </c>
      <c r="J34" s="591">
        <v>191767500</v>
      </c>
      <c r="K34" s="562" t="s">
        <v>163</v>
      </c>
      <c r="L34" s="384"/>
      <c r="M34" s="385"/>
      <c r="AI34" s="395"/>
      <c r="AJ34" s="396" t="s">
        <v>284</v>
      </c>
      <c r="AK34" s="397">
        <v>300000</v>
      </c>
      <c r="AL34" s="410">
        <v>54914.85</v>
      </c>
      <c r="AM34" s="411"/>
      <c r="AN34" s="411">
        <f t="shared" si="3"/>
        <v>18.304950000000002</v>
      </c>
    </row>
    <row r="35" spans="1:40" ht="24" customHeight="1">
      <c r="A35" s="381"/>
      <c r="B35" s="382"/>
      <c r="C35" s="383"/>
      <c r="D35" s="383"/>
      <c r="E35" s="383"/>
      <c r="F35" s="383"/>
      <c r="G35" s="383"/>
      <c r="H35" s="589"/>
      <c r="I35" s="400" t="s">
        <v>196</v>
      </c>
      <c r="J35" s="472">
        <v>52.43</v>
      </c>
      <c r="K35" s="562" t="s">
        <v>51</v>
      </c>
      <c r="L35" s="384"/>
      <c r="M35" s="385"/>
      <c r="AI35" s="395"/>
      <c r="AJ35" s="396" t="s">
        <v>285</v>
      </c>
      <c r="AK35" s="397">
        <v>300000</v>
      </c>
      <c r="AL35" s="410">
        <v>66279.649999999994</v>
      </c>
      <c r="AM35" s="411"/>
      <c r="AN35" s="411">
        <f t="shared" si="3"/>
        <v>22.093216666666663</v>
      </c>
    </row>
    <row r="36" spans="1:40" ht="24" customHeight="1">
      <c r="A36" s="507"/>
      <c r="B36" s="508"/>
      <c r="C36" s="509"/>
      <c r="D36" s="509"/>
      <c r="E36" s="509"/>
      <c r="F36" s="509"/>
      <c r="G36" s="509"/>
      <c r="H36" s="592"/>
      <c r="I36" s="519"/>
      <c r="J36" s="593"/>
      <c r="K36" s="520"/>
      <c r="L36" s="510"/>
      <c r="M36" s="376"/>
      <c r="AI36" s="395"/>
      <c r="AJ36" s="396" t="s">
        <v>286</v>
      </c>
      <c r="AK36" s="397">
        <v>500000</v>
      </c>
      <c r="AL36" s="410">
        <v>147338.20000000001</v>
      </c>
      <c r="AM36" s="411"/>
      <c r="AN36" s="411">
        <f t="shared" si="3"/>
        <v>29.467640000000003</v>
      </c>
    </row>
    <row r="37" spans="1:40" ht="24" customHeight="1">
      <c r="A37" s="379" t="s">
        <v>150</v>
      </c>
      <c r="B37" s="302">
        <v>1.87</v>
      </c>
      <c r="C37" s="405">
        <v>0.6</v>
      </c>
      <c r="D37" s="405">
        <v>0.65</v>
      </c>
      <c r="E37" s="405">
        <v>0.7</v>
      </c>
      <c r="F37" s="405">
        <v>0.75</v>
      </c>
      <c r="G37" s="405">
        <v>0.8</v>
      </c>
      <c r="H37" s="738" t="s">
        <v>222</v>
      </c>
      <c r="I37" s="739"/>
      <c r="J37" s="739"/>
      <c r="K37" s="740"/>
      <c r="L37" s="303">
        <v>1</v>
      </c>
      <c r="M37" s="380">
        <f>IF(L37=0,"-",ROUND(L37*B37/B$64,4))</f>
        <v>2.3900000000000001E-2</v>
      </c>
      <c r="AI37" s="395"/>
      <c r="AJ37" s="396" t="s">
        <v>277</v>
      </c>
      <c r="AK37" s="397">
        <v>500000</v>
      </c>
      <c r="AL37" s="410">
        <v>150000</v>
      </c>
      <c r="AM37" s="411"/>
      <c r="AN37" s="411">
        <f t="shared" si="3"/>
        <v>30</v>
      </c>
    </row>
    <row r="38" spans="1:40" ht="24" customHeight="1">
      <c r="A38" s="381" t="s">
        <v>151</v>
      </c>
      <c r="B38" s="515"/>
      <c r="C38" s="594"/>
      <c r="D38" s="594"/>
      <c r="E38" s="594"/>
      <c r="F38" s="594"/>
      <c r="G38" s="594"/>
      <c r="H38" s="762" t="s">
        <v>223</v>
      </c>
      <c r="I38" s="763"/>
      <c r="J38" s="763"/>
      <c r="K38" s="764"/>
      <c r="L38" s="384"/>
      <c r="M38" s="385"/>
      <c r="AI38" s="395"/>
      <c r="AJ38" s="396"/>
      <c r="AK38" s="397" t="e">
        <f>#REF!+AK25+AK26+#REF!+#REF!+AK27+AK28+AK29+#REF!+AK30+AK31+AK32+AK33+AK34+AK35+AK36+AK37</f>
        <v>#REF!</v>
      </c>
      <c r="AL38" s="410" t="e">
        <f>#REF!+AL25+AL26+#REF!+#REF!+AL27+AL28+AL29+#REF!+AL30+AL31+AL32+AL33+AL34+AL35+AL36+AL37</f>
        <v>#REF!</v>
      </c>
      <c r="AM38" s="411"/>
      <c r="AN38" s="411" t="e">
        <f>AL38*100/AK38</f>
        <v>#REF!</v>
      </c>
    </row>
    <row r="39" spans="1:40" ht="24" customHeight="1">
      <c r="A39" s="381" t="s">
        <v>91</v>
      </c>
      <c r="B39" s="382"/>
      <c r="C39" s="383"/>
      <c r="D39" s="383"/>
      <c r="E39" s="383"/>
      <c r="F39" s="383"/>
      <c r="G39" s="383"/>
      <c r="H39" s="762" t="s">
        <v>224</v>
      </c>
      <c r="I39" s="763"/>
      <c r="J39" s="763"/>
      <c r="K39" s="764"/>
      <c r="L39" s="384"/>
      <c r="M39" s="385"/>
    </row>
    <row r="40" spans="1:40" ht="24" customHeight="1">
      <c r="A40" s="381"/>
      <c r="B40" s="382"/>
      <c r="C40" s="383"/>
      <c r="D40" s="383"/>
      <c r="E40" s="383"/>
      <c r="F40" s="383"/>
      <c r="G40" s="383"/>
      <c r="H40" s="565"/>
      <c r="I40" s="400" t="s">
        <v>97</v>
      </c>
      <c r="J40" s="532">
        <v>271</v>
      </c>
      <c r="K40" s="566" t="s">
        <v>96</v>
      </c>
      <c r="L40" s="384"/>
      <c r="M40" s="385"/>
    </row>
    <row r="41" spans="1:40" ht="24" customHeight="1">
      <c r="A41" s="381"/>
      <c r="B41" s="382"/>
      <c r="C41" s="383"/>
      <c r="D41" s="383"/>
      <c r="E41" s="383"/>
      <c r="F41" s="383"/>
      <c r="G41" s="383"/>
      <c r="H41" s="565"/>
      <c r="I41" s="400" t="s">
        <v>98</v>
      </c>
      <c r="J41" s="532">
        <v>271</v>
      </c>
      <c r="K41" s="566" t="s">
        <v>96</v>
      </c>
      <c r="L41" s="384"/>
      <c r="M41" s="385"/>
    </row>
    <row r="42" spans="1:40" ht="24" customHeight="1">
      <c r="A42" s="381"/>
      <c r="B42" s="382"/>
      <c r="C42" s="383"/>
      <c r="D42" s="383"/>
      <c r="E42" s="383"/>
      <c r="F42" s="383"/>
      <c r="G42" s="383"/>
      <c r="H42" s="560"/>
      <c r="I42" s="400" t="s">
        <v>35</v>
      </c>
      <c r="J42" s="486">
        <f>ROUND(J41*100/J40,2)</f>
        <v>100</v>
      </c>
      <c r="K42" s="562" t="s">
        <v>51</v>
      </c>
      <c r="L42" s="384"/>
      <c r="M42" s="385"/>
    </row>
    <row r="43" spans="1:40" ht="24" customHeight="1">
      <c r="A43" s="507"/>
      <c r="B43" s="508"/>
      <c r="C43" s="509"/>
      <c r="D43" s="509"/>
      <c r="E43" s="509"/>
      <c r="F43" s="509"/>
      <c r="G43" s="509"/>
      <c r="H43" s="595"/>
      <c r="I43" s="596"/>
      <c r="J43" s="596"/>
      <c r="K43" s="567"/>
      <c r="L43" s="510"/>
      <c r="M43" s="376"/>
    </row>
    <row r="44" spans="1:40" ht="24" customHeight="1">
      <c r="A44" s="597" t="s">
        <v>152</v>
      </c>
      <c r="B44" s="490">
        <v>5.45</v>
      </c>
      <c r="C44" s="598">
        <v>0.65</v>
      </c>
      <c r="D44" s="598">
        <v>0.7</v>
      </c>
      <c r="E44" s="598">
        <v>0.75</v>
      </c>
      <c r="F44" s="598">
        <v>0.8</v>
      </c>
      <c r="G44" s="598">
        <v>0.85</v>
      </c>
      <c r="H44" s="738" t="s">
        <v>225</v>
      </c>
      <c r="I44" s="739"/>
      <c r="J44" s="739"/>
      <c r="K44" s="740"/>
      <c r="L44" s="303">
        <v>4.7939999999999996</v>
      </c>
      <c r="M44" s="380">
        <f>IF(L44=0,"-",ROUND(L44*B44/B$64,4))</f>
        <v>0.3342</v>
      </c>
    </row>
    <row r="45" spans="1:40" ht="24" customHeight="1">
      <c r="A45" s="381" t="s">
        <v>153</v>
      </c>
      <c r="B45" s="382"/>
      <c r="C45" s="383"/>
      <c r="D45" s="383"/>
      <c r="E45" s="383"/>
      <c r="F45" s="383"/>
      <c r="G45" s="383"/>
      <c r="H45" s="762" t="s">
        <v>226</v>
      </c>
      <c r="I45" s="763"/>
      <c r="J45" s="763"/>
      <c r="K45" s="764"/>
      <c r="L45" s="384"/>
      <c r="M45" s="385"/>
    </row>
    <row r="46" spans="1:40" ht="24" customHeight="1">
      <c r="A46" s="599" t="s">
        <v>162</v>
      </c>
      <c r="B46" s="382"/>
      <c r="C46" s="383"/>
      <c r="D46" s="383"/>
      <c r="E46" s="383"/>
      <c r="F46" s="383"/>
      <c r="G46" s="383"/>
      <c r="H46" s="565" t="s">
        <v>200</v>
      </c>
      <c r="I46" s="600" t="s">
        <v>113</v>
      </c>
      <c r="J46" s="486">
        <v>83.97</v>
      </c>
      <c r="K46" s="562" t="s">
        <v>51</v>
      </c>
      <c r="L46" s="384"/>
      <c r="M46" s="385"/>
    </row>
    <row r="47" spans="1:40" ht="24" customHeight="1">
      <c r="A47" s="381"/>
      <c r="B47" s="382"/>
      <c r="C47" s="383"/>
      <c r="D47" s="383"/>
      <c r="E47" s="383"/>
      <c r="F47" s="383"/>
      <c r="G47" s="517"/>
      <c r="H47" s="601"/>
      <c r="I47" s="601"/>
      <c r="J47" s="601"/>
      <c r="K47" s="601"/>
      <c r="L47" s="384"/>
      <c r="M47" s="385"/>
    </row>
    <row r="48" spans="1:40" ht="24" customHeight="1">
      <c r="A48" s="379" t="s">
        <v>154</v>
      </c>
      <c r="B48" s="490">
        <v>5.45</v>
      </c>
      <c r="C48" s="496" t="s">
        <v>29</v>
      </c>
      <c r="D48" s="496" t="s">
        <v>30</v>
      </c>
      <c r="E48" s="496" t="s">
        <v>31</v>
      </c>
      <c r="F48" s="496" t="s">
        <v>32</v>
      </c>
      <c r="G48" s="496" t="s">
        <v>33</v>
      </c>
      <c r="H48" s="738" t="s">
        <v>227</v>
      </c>
      <c r="I48" s="739"/>
      <c r="J48" s="739"/>
      <c r="K48" s="740"/>
      <c r="L48" s="303">
        <v>1</v>
      </c>
      <c r="M48" s="380">
        <f>IF(L48=0,"-",ROUND(L48*B48/B$64,4))</f>
        <v>6.9699999999999998E-2</v>
      </c>
    </row>
    <row r="49" spans="1:34" ht="24" customHeight="1">
      <c r="A49" s="381" t="s">
        <v>107</v>
      </c>
      <c r="B49" s="382"/>
      <c r="C49" s="497">
        <v>1.5</v>
      </c>
      <c r="D49" s="497">
        <v>2</v>
      </c>
      <c r="E49" s="497">
        <v>2.5</v>
      </c>
      <c r="F49" s="497">
        <v>3</v>
      </c>
      <c r="G49" s="497">
        <v>5</v>
      </c>
      <c r="H49" s="762" t="s">
        <v>228</v>
      </c>
      <c r="I49" s="763"/>
      <c r="J49" s="763"/>
      <c r="K49" s="764"/>
      <c r="L49" s="384"/>
      <c r="M49" s="385"/>
    </row>
    <row r="50" spans="1:34" ht="24" customHeight="1">
      <c r="A50" s="381" t="s">
        <v>310</v>
      </c>
      <c r="B50" s="382"/>
      <c r="C50" s="517"/>
      <c r="D50" s="517"/>
      <c r="E50" s="517"/>
      <c r="F50" s="517"/>
      <c r="G50" s="517"/>
      <c r="H50" s="762" t="s">
        <v>213</v>
      </c>
      <c r="I50" s="763"/>
      <c r="J50" s="763"/>
      <c r="K50" s="764"/>
      <c r="L50" s="384"/>
      <c r="M50" s="385"/>
    </row>
    <row r="51" spans="1:34" ht="24" customHeight="1">
      <c r="A51" s="381"/>
      <c r="B51" s="382"/>
      <c r="C51" s="517"/>
      <c r="D51" s="517"/>
      <c r="E51" s="517"/>
      <c r="F51" s="517"/>
      <c r="G51" s="517"/>
      <c r="H51" s="560"/>
      <c r="I51" s="400" t="s">
        <v>112</v>
      </c>
      <c r="J51" s="472" t="s">
        <v>11</v>
      </c>
      <c r="K51" s="566"/>
      <c r="L51" s="384"/>
      <c r="M51" s="385"/>
    </row>
    <row r="52" spans="1:34" ht="24" customHeight="1">
      <c r="A52" s="507"/>
      <c r="B52" s="508"/>
      <c r="C52" s="509"/>
      <c r="D52" s="509"/>
      <c r="E52" s="509"/>
      <c r="F52" s="509"/>
      <c r="G52" s="509"/>
      <c r="H52" s="511"/>
      <c r="I52" s="519"/>
      <c r="J52" s="519"/>
      <c r="K52" s="520"/>
      <c r="L52" s="510"/>
      <c r="M52" s="376"/>
    </row>
    <row r="53" spans="1:34" ht="24" customHeight="1">
      <c r="A53" s="602" t="s">
        <v>155</v>
      </c>
      <c r="B53" s="490">
        <v>5.45</v>
      </c>
      <c r="C53" s="598">
        <v>0.1</v>
      </c>
      <c r="D53" s="598">
        <v>0.3</v>
      </c>
      <c r="E53" s="598">
        <v>0.5</v>
      </c>
      <c r="F53" s="598">
        <v>0.7</v>
      </c>
      <c r="G53" s="598">
        <v>1</v>
      </c>
      <c r="H53" s="738" t="s">
        <v>316</v>
      </c>
      <c r="I53" s="739"/>
      <c r="J53" s="739"/>
      <c r="K53" s="740"/>
      <c r="L53" s="303">
        <f>ROUND(4+((J56-70)*1/30),4)</f>
        <v>4.8333000000000004</v>
      </c>
      <c r="M53" s="380">
        <f>IF(L53=0,"-",ROUND(L53*B53/B$64,4))</f>
        <v>0.33689999999999998</v>
      </c>
      <c r="Q53" s="368" t="s">
        <v>164</v>
      </c>
      <c r="R53" s="368" t="s">
        <v>165</v>
      </c>
      <c r="S53" s="368" t="s">
        <v>166</v>
      </c>
      <c r="T53" s="368" t="s">
        <v>180</v>
      </c>
      <c r="U53" s="368" t="s">
        <v>181</v>
      </c>
      <c r="V53" s="368" t="s">
        <v>278</v>
      </c>
      <c r="W53" s="368" t="s">
        <v>183</v>
      </c>
      <c r="X53" s="368" t="s">
        <v>184</v>
      </c>
      <c r="Y53" s="368" t="s">
        <v>185</v>
      </c>
      <c r="Z53" s="368" t="s">
        <v>186</v>
      </c>
      <c r="AA53" s="368" t="s">
        <v>187</v>
      </c>
      <c r="AB53" s="368" t="s">
        <v>188</v>
      </c>
      <c r="AC53" s="368" t="s">
        <v>189</v>
      </c>
      <c r="AD53" s="368" t="s">
        <v>190</v>
      </c>
      <c r="AE53" s="368" t="s">
        <v>191</v>
      </c>
      <c r="AF53" s="368" t="s">
        <v>192</v>
      </c>
      <c r="AG53" s="368" t="s">
        <v>193</v>
      </c>
      <c r="AH53" s="368" t="s">
        <v>20</v>
      </c>
    </row>
    <row r="54" spans="1:34" ht="24" customHeight="1">
      <c r="A54" s="603" t="s">
        <v>197</v>
      </c>
      <c r="B54" s="604"/>
      <c r="C54" s="383"/>
      <c r="D54" s="383"/>
      <c r="E54" s="383"/>
      <c r="F54" s="383"/>
      <c r="G54" s="406"/>
      <c r="H54" s="560" t="s">
        <v>317</v>
      </c>
      <c r="I54" s="501"/>
      <c r="J54" s="581"/>
      <c r="K54" s="582"/>
      <c r="L54" s="518"/>
      <c r="M54" s="385"/>
      <c r="Q54" s="368">
        <v>82</v>
      </c>
      <c r="R54" s="368">
        <v>100</v>
      </c>
      <c r="S54" s="368">
        <v>0</v>
      </c>
      <c r="T54" s="368">
        <v>82</v>
      </c>
      <c r="U54" s="368">
        <v>72</v>
      </c>
      <c r="V54" s="368">
        <v>81</v>
      </c>
      <c r="W54" s="368">
        <v>95</v>
      </c>
      <c r="X54" s="368">
        <v>72</v>
      </c>
      <c r="Y54" s="368">
        <v>80</v>
      </c>
      <c r="Z54" s="368">
        <v>76</v>
      </c>
      <c r="AA54" s="368">
        <v>76</v>
      </c>
      <c r="AB54" s="368">
        <v>86</v>
      </c>
      <c r="AC54" s="368">
        <v>76</v>
      </c>
      <c r="AD54" s="368">
        <v>70</v>
      </c>
      <c r="AE54" s="368">
        <v>100</v>
      </c>
      <c r="AF54" s="368">
        <v>72</v>
      </c>
      <c r="AG54" s="368">
        <v>95</v>
      </c>
      <c r="AH54" s="404">
        <f>(Q54+R54+S54+T54+U54+V54+W54+X54+Y54+Z54+AA54+AB54+AC54+AD54+AE54+AF54+AG54)/17</f>
        <v>77.352941176470594</v>
      </c>
    </row>
    <row r="55" spans="1:34" ht="24" customHeight="1">
      <c r="A55" s="381" t="s">
        <v>310</v>
      </c>
      <c r="B55" s="604"/>
      <c r="C55" s="383"/>
      <c r="D55" s="383"/>
      <c r="E55" s="383"/>
      <c r="F55" s="383"/>
      <c r="G55" s="383"/>
      <c r="H55" s="561" t="s">
        <v>231</v>
      </c>
      <c r="I55" s="501"/>
      <c r="J55" s="581"/>
      <c r="K55" s="582"/>
      <c r="L55" s="518"/>
      <c r="M55" s="385"/>
    </row>
    <row r="56" spans="1:34" ht="24" customHeight="1">
      <c r="A56" s="603"/>
      <c r="B56" s="604"/>
      <c r="C56" s="383"/>
      <c r="D56" s="383"/>
      <c r="E56" s="383"/>
      <c r="F56" s="383"/>
      <c r="G56" s="383"/>
      <c r="H56" s="560"/>
      <c r="I56" s="400" t="s">
        <v>114</v>
      </c>
      <c r="J56" s="545">
        <v>95</v>
      </c>
      <c r="K56" s="562" t="s">
        <v>51</v>
      </c>
      <c r="L56" s="518"/>
      <c r="M56" s="385"/>
      <c r="P56" s="305"/>
    </row>
    <row r="57" spans="1:34" ht="24" customHeight="1">
      <c r="A57" s="605"/>
      <c r="B57" s="606"/>
      <c r="C57" s="509"/>
      <c r="D57" s="509"/>
      <c r="E57" s="509"/>
      <c r="F57" s="509"/>
      <c r="G57" s="509"/>
      <c r="H57" s="512"/>
      <c r="I57" s="519"/>
      <c r="J57" s="519"/>
      <c r="K57" s="520"/>
      <c r="L57" s="607"/>
      <c r="M57" s="376"/>
    </row>
    <row r="58" spans="1:34" ht="24" customHeight="1">
      <c r="A58" s="379" t="s">
        <v>156</v>
      </c>
      <c r="B58" s="490">
        <v>5.45</v>
      </c>
      <c r="C58" s="498">
        <v>0.8</v>
      </c>
      <c r="D58" s="498">
        <v>0.85</v>
      </c>
      <c r="E58" s="498">
        <v>0.9</v>
      </c>
      <c r="F58" s="498">
        <v>0.95</v>
      </c>
      <c r="G58" s="498">
        <v>1</v>
      </c>
      <c r="H58" s="738" t="s">
        <v>304</v>
      </c>
      <c r="I58" s="739"/>
      <c r="J58" s="739"/>
      <c r="K58" s="740"/>
      <c r="L58" s="303">
        <f>ROUND(4+((J62-95)*1/5),4)</f>
        <v>4.9080000000000004</v>
      </c>
      <c r="M58" s="380">
        <f>IF(L58=0,"-",ROUND(L58*B58/B$64,4))</f>
        <v>0.34210000000000002</v>
      </c>
      <c r="R58" s="413"/>
    </row>
    <row r="59" spans="1:34" ht="24" customHeight="1">
      <c r="A59" s="381" t="s">
        <v>116</v>
      </c>
      <c r="B59" s="382"/>
      <c r="C59" s="497"/>
      <c r="D59" s="497"/>
      <c r="E59" s="497"/>
      <c r="F59" s="497"/>
      <c r="G59" s="497"/>
      <c r="H59" s="762" t="s">
        <v>305</v>
      </c>
      <c r="I59" s="763"/>
      <c r="J59" s="763"/>
      <c r="K59" s="764"/>
      <c r="L59" s="384"/>
      <c r="M59" s="385"/>
    </row>
    <row r="60" spans="1:34" ht="24" customHeight="1">
      <c r="A60" s="381" t="s">
        <v>310</v>
      </c>
      <c r="B60" s="382"/>
      <c r="C60" s="383"/>
      <c r="D60" s="383"/>
      <c r="E60" s="383"/>
      <c r="F60" s="383"/>
      <c r="G60" s="383"/>
      <c r="H60" s="762" t="s">
        <v>306</v>
      </c>
      <c r="I60" s="763"/>
      <c r="J60" s="763"/>
      <c r="K60" s="764"/>
      <c r="L60" s="384"/>
      <c r="M60" s="385"/>
      <c r="O60" s="375"/>
      <c r="P60" s="375"/>
      <c r="Q60" s="375"/>
      <c r="R60" s="375"/>
      <c r="S60" s="375"/>
      <c r="T60" s="375"/>
      <c r="U60" s="375"/>
      <c r="V60" s="375"/>
      <c r="W60" s="375"/>
      <c r="X60" s="375"/>
      <c r="Y60" s="375"/>
      <c r="Z60" s="375"/>
      <c r="AA60" s="375"/>
      <c r="AB60" s="375"/>
      <c r="AC60" s="375"/>
      <c r="AD60" s="375"/>
      <c r="AE60" s="375"/>
      <c r="AF60" s="375"/>
    </row>
    <row r="61" spans="1:34" ht="24" customHeight="1">
      <c r="A61" s="381"/>
      <c r="B61" s="382"/>
      <c r="C61" s="383"/>
      <c r="D61" s="383"/>
      <c r="E61" s="383"/>
      <c r="F61" s="383"/>
      <c r="G61" s="383"/>
      <c r="H61" s="560" t="s">
        <v>307</v>
      </c>
      <c r="I61" s="561"/>
      <c r="J61" s="561"/>
      <c r="K61" s="562"/>
      <c r="L61" s="384"/>
      <c r="M61" s="385"/>
      <c r="O61" s="414"/>
      <c r="P61" s="414"/>
      <c r="Q61" s="414"/>
      <c r="R61" s="414"/>
      <c r="S61" s="414"/>
      <c r="T61" s="414"/>
      <c r="U61" s="414"/>
      <c r="V61" s="414"/>
      <c r="W61" s="414"/>
      <c r="X61" s="414"/>
      <c r="Y61" s="414"/>
      <c r="Z61" s="414"/>
      <c r="AA61" s="414"/>
      <c r="AB61" s="414"/>
      <c r="AC61" s="414"/>
      <c r="AD61" s="414"/>
      <c r="AE61" s="414"/>
      <c r="AF61" s="414"/>
    </row>
    <row r="62" spans="1:34" ht="24" customHeight="1">
      <c r="A62" s="381"/>
      <c r="B62" s="382"/>
      <c r="C62" s="383"/>
      <c r="D62" s="383"/>
      <c r="E62" s="383"/>
      <c r="F62" s="383"/>
      <c r="G62" s="383"/>
      <c r="H62" s="560"/>
      <c r="I62" s="400" t="s">
        <v>114</v>
      </c>
      <c r="J62" s="545">
        <v>99.54</v>
      </c>
      <c r="K62" s="566" t="s">
        <v>51</v>
      </c>
      <c r="L62" s="384"/>
      <c r="M62" s="385"/>
      <c r="O62" s="414"/>
      <c r="P62" s="414"/>
      <c r="Q62" s="414"/>
      <c r="R62" s="414"/>
      <c r="S62" s="414"/>
      <c r="T62" s="414"/>
      <c r="U62" s="414"/>
      <c r="V62" s="414"/>
      <c r="W62" s="414"/>
      <c r="X62" s="414"/>
      <c r="Y62" s="414"/>
      <c r="Z62" s="414"/>
      <c r="AA62" s="414"/>
      <c r="AB62" s="414"/>
      <c r="AC62" s="414"/>
      <c r="AD62" s="414"/>
      <c r="AE62" s="414"/>
      <c r="AF62" s="414"/>
    </row>
    <row r="63" spans="1:34" ht="24" customHeight="1">
      <c r="A63" s="381"/>
      <c r="B63" s="608"/>
      <c r="C63" s="383"/>
      <c r="D63" s="383"/>
      <c r="E63" s="383"/>
      <c r="F63" s="383"/>
      <c r="G63" s="517"/>
      <c r="H63" s="560"/>
      <c r="I63" s="601"/>
      <c r="J63" s="600"/>
      <c r="K63" s="566"/>
      <c r="L63" s="384"/>
      <c r="M63" s="385"/>
      <c r="O63" s="414"/>
      <c r="P63" s="414"/>
      <c r="Q63" s="414"/>
      <c r="R63" s="414"/>
      <c r="S63" s="414"/>
      <c r="T63" s="414"/>
      <c r="U63" s="414"/>
      <c r="V63" s="414"/>
      <c r="W63" s="414"/>
      <c r="X63" s="414"/>
      <c r="Y63" s="414"/>
      <c r="Z63" s="414"/>
      <c r="AA63" s="414"/>
      <c r="AB63" s="414"/>
      <c r="AC63" s="414"/>
      <c r="AD63" s="414"/>
      <c r="AE63" s="414"/>
      <c r="AF63" s="414"/>
    </row>
    <row r="64" spans="1:34" ht="24" customHeight="1">
      <c r="A64" s="415"/>
      <c r="B64" s="416">
        <f>SUM(B6:B63)</f>
        <v>78.190000000000012</v>
      </c>
      <c r="C64" s="417"/>
      <c r="D64" s="417"/>
      <c r="E64" s="417"/>
      <c r="F64" s="417"/>
      <c r="G64" s="418"/>
      <c r="H64" s="417"/>
      <c r="I64" s="417"/>
      <c r="J64" s="417"/>
      <c r="K64" s="417"/>
      <c r="L64" s="419" t="s">
        <v>140</v>
      </c>
      <c r="M64" s="420">
        <f>SUM(M6:M63)</f>
        <v>2.6270000000000002</v>
      </c>
      <c r="O64" s="414"/>
      <c r="P64" s="414"/>
      <c r="Q64" s="414"/>
      <c r="R64" s="414"/>
      <c r="S64" s="414"/>
      <c r="T64" s="414"/>
      <c r="U64" s="414"/>
      <c r="V64" s="414"/>
      <c r="W64" s="414"/>
      <c r="X64" s="414"/>
      <c r="Y64" s="414"/>
      <c r="Z64" s="414"/>
      <c r="AA64" s="414"/>
      <c r="AB64" s="414"/>
      <c r="AC64" s="414"/>
      <c r="AD64" s="414"/>
      <c r="AE64" s="414"/>
      <c r="AF64" s="414"/>
    </row>
    <row r="65" spans="1:32" ht="24" customHeight="1">
      <c r="O65" s="414"/>
      <c r="P65" s="414"/>
      <c r="Q65" s="414"/>
      <c r="R65" s="414"/>
      <c r="S65" s="414"/>
      <c r="T65" s="414"/>
      <c r="U65" s="414"/>
      <c r="V65" s="422"/>
      <c r="W65" s="414"/>
      <c r="X65" s="414"/>
      <c r="Y65" s="414"/>
      <c r="Z65" s="414"/>
      <c r="AA65" s="414"/>
      <c r="AB65" s="414"/>
      <c r="AC65" s="414"/>
      <c r="AD65" s="414"/>
      <c r="AE65" s="414"/>
      <c r="AF65" s="414"/>
    </row>
    <row r="66" spans="1:32" ht="24" customHeight="1">
      <c r="A66" s="423"/>
    </row>
    <row r="67" spans="1:32" ht="24" customHeight="1"/>
    <row r="68" spans="1:32" ht="24" customHeight="1"/>
    <row r="69" spans="1:32" ht="24" customHeight="1"/>
    <row r="70" spans="1:32" ht="24" customHeight="1"/>
    <row r="71" spans="1:32" ht="24" customHeight="1"/>
    <row r="72" spans="1:32" ht="24" customHeight="1"/>
    <row r="73" spans="1:32" ht="24" customHeight="1"/>
  </sheetData>
  <mergeCells count="37">
    <mergeCell ref="H60:K60"/>
    <mergeCell ref="H48:K48"/>
    <mergeCell ref="H49:K49"/>
    <mergeCell ref="H50:K50"/>
    <mergeCell ref="H53:K53"/>
    <mergeCell ref="H58:K58"/>
    <mergeCell ref="H59:K59"/>
    <mergeCell ref="H18:K18"/>
    <mergeCell ref="H19:K19"/>
    <mergeCell ref="H22:K22"/>
    <mergeCell ref="H45:K45"/>
    <mergeCell ref="H24:K24"/>
    <mergeCell ref="H27:K27"/>
    <mergeCell ref="H28:K28"/>
    <mergeCell ref="H30:K30"/>
    <mergeCell ref="H31:K31"/>
    <mergeCell ref="H32:K32"/>
    <mergeCell ref="H37:K37"/>
    <mergeCell ref="H38:K38"/>
    <mergeCell ref="H39:K39"/>
    <mergeCell ref="H44:K44"/>
    <mergeCell ref="AI26:AJ26"/>
    <mergeCell ref="H6:K6"/>
    <mergeCell ref="A1:M1"/>
    <mergeCell ref="A2:M2"/>
    <mergeCell ref="C4:G4"/>
    <mergeCell ref="H4:K5"/>
    <mergeCell ref="L4:L5"/>
    <mergeCell ref="H23:K23"/>
    <mergeCell ref="H7:K7"/>
    <mergeCell ref="H8:K8"/>
    <mergeCell ref="H9:K9"/>
    <mergeCell ref="H11:K11"/>
    <mergeCell ref="H12:K12"/>
    <mergeCell ref="H13:K13"/>
    <mergeCell ref="H14:K14"/>
    <mergeCell ref="H17:K17"/>
  </mergeCells>
  <printOptions horizontalCentered="1"/>
  <pageMargins left="0.196850393700787" right="0.196850393700787" top="0.55118110236220497" bottom="0.27559055118110198" header="0.196850393700787" footer="0.47244094488188998"/>
  <pageSetup paperSize="9" scale="67" orientation="landscape" r:id="rId1"/>
  <headerFooter scaleWithDoc="0">
    <oddHeader>&amp;R&amp;"TH SarabunPSK,Regular"&amp;16&amp;P</oddHeader>
  </headerFooter>
  <rowBreaks count="2" manualBreakCount="2">
    <brk id="26" max="12" man="1"/>
    <brk id="52" max="12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N75"/>
  <sheetViews>
    <sheetView view="pageBreakPreview" zoomScaleNormal="90" zoomScaleSheetLayoutView="100" zoomScalePageLayoutView="50" workbookViewId="0">
      <selection activeCell="H8" sqref="H8:K8"/>
    </sheetView>
  </sheetViews>
  <sheetFormatPr defaultColWidth="9.140625" defaultRowHeight="21"/>
  <cols>
    <col min="1" max="1" width="38" style="368" customWidth="1"/>
    <col min="2" max="2" width="11.5703125" style="368" customWidth="1"/>
    <col min="3" max="3" width="9.85546875" style="368" customWidth="1"/>
    <col min="4" max="7" width="9.28515625" style="368" customWidth="1"/>
    <col min="8" max="8" width="9.85546875" style="368" customWidth="1"/>
    <col min="9" max="9" width="16.140625" style="368" customWidth="1"/>
    <col min="10" max="10" width="16.5703125" style="368" customWidth="1"/>
    <col min="11" max="11" width="34.140625" style="368" customWidth="1"/>
    <col min="12" max="12" width="11.140625" style="421" customWidth="1"/>
    <col min="13" max="13" width="11.140625" style="368" customWidth="1"/>
    <col min="14" max="16" width="9.140625" style="368"/>
    <col min="17" max="17" width="12.42578125" style="368" bestFit="1" customWidth="1"/>
    <col min="18" max="20" width="11.5703125" style="368" bestFit="1" customWidth="1"/>
    <col min="21" max="21" width="9.140625" style="368"/>
    <col min="22" max="30" width="11.5703125" style="368" bestFit="1" customWidth="1"/>
    <col min="31" max="31" width="17.7109375" style="368" customWidth="1"/>
    <col min="32" max="32" width="9.28515625" style="368" bestFit="1" customWidth="1"/>
    <col min="33" max="33" width="11.28515625" style="368" bestFit="1" customWidth="1"/>
    <col min="34" max="35" width="9.140625" style="368"/>
    <col min="36" max="36" width="86.140625" style="368" bestFit="1" customWidth="1"/>
    <col min="37" max="37" width="19.28515625" style="368" bestFit="1" customWidth="1"/>
    <col min="38" max="38" width="15" style="368" bestFit="1" customWidth="1"/>
    <col min="39" max="39" width="10.42578125" style="368" bestFit="1" customWidth="1"/>
    <col min="40" max="16384" width="9.140625" style="368"/>
  </cols>
  <sheetData>
    <row r="1" spans="1:40" ht="24" customHeight="1">
      <c r="A1" s="752" t="s">
        <v>0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2" spans="1:40" ht="24" customHeight="1">
      <c r="A2" s="752" t="s">
        <v>328</v>
      </c>
      <c r="B2" s="753"/>
      <c r="C2" s="753"/>
      <c r="D2" s="753"/>
      <c r="E2" s="753"/>
      <c r="F2" s="753"/>
      <c r="G2" s="753"/>
      <c r="H2" s="753"/>
      <c r="I2" s="753"/>
      <c r="J2" s="753"/>
      <c r="K2" s="753"/>
      <c r="L2" s="753"/>
      <c r="M2" s="753"/>
    </row>
    <row r="3" spans="1:40" ht="24" customHeight="1">
      <c r="A3" s="369" t="s">
        <v>373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72" t="s">
        <v>237</v>
      </c>
    </row>
    <row r="4" spans="1:40" s="375" customFormat="1" ht="24" customHeight="1">
      <c r="A4" s="373" t="s">
        <v>1</v>
      </c>
      <c r="B4" s="373" t="s">
        <v>2</v>
      </c>
      <c r="C4" s="754" t="s">
        <v>3</v>
      </c>
      <c r="D4" s="754"/>
      <c r="E4" s="754"/>
      <c r="F4" s="754"/>
      <c r="G4" s="754"/>
      <c r="H4" s="755" t="s">
        <v>4</v>
      </c>
      <c r="I4" s="756"/>
      <c r="J4" s="756"/>
      <c r="K4" s="757"/>
      <c r="L4" s="761" t="s">
        <v>5</v>
      </c>
      <c r="M4" s="374" t="s">
        <v>6</v>
      </c>
    </row>
    <row r="5" spans="1:40" s="375" customFormat="1" ht="24" customHeight="1">
      <c r="A5" s="376" t="s">
        <v>7</v>
      </c>
      <c r="B5" s="376" t="s">
        <v>8</v>
      </c>
      <c r="C5" s="377">
        <v>1</v>
      </c>
      <c r="D5" s="377">
        <v>2</v>
      </c>
      <c r="E5" s="377">
        <v>3</v>
      </c>
      <c r="F5" s="377">
        <v>4</v>
      </c>
      <c r="G5" s="377">
        <v>5</v>
      </c>
      <c r="H5" s="758"/>
      <c r="I5" s="759"/>
      <c r="J5" s="759"/>
      <c r="K5" s="760"/>
      <c r="L5" s="761"/>
      <c r="M5" s="378" t="s">
        <v>9</v>
      </c>
    </row>
    <row r="6" spans="1:40" ht="24" customHeight="1">
      <c r="A6" s="379" t="s">
        <v>159</v>
      </c>
      <c r="B6" s="302">
        <v>5.45</v>
      </c>
      <c r="C6" s="506">
        <v>0.65</v>
      </c>
      <c r="D6" s="506">
        <v>0.7</v>
      </c>
      <c r="E6" s="506">
        <v>0.75</v>
      </c>
      <c r="F6" s="506">
        <v>0.8</v>
      </c>
      <c r="G6" s="506">
        <v>0.85</v>
      </c>
      <c r="H6" s="738" t="s">
        <v>203</v>
      </c>
      <c r="I6" s="739"/>
      <c r="J6" s="739"/>
      <c r="K6" s="740"/>
      <c r="L6" s="303">
        <v>4.8520000000000003</v>
      </c>
      <c r="M6" s="380">
        <f>IF(L6=0,"-",ROUND(L6*B6/B$66,4))</f>
        <v>0.3382</v>
      </c>
    </row>
    <row r="7" spans="1:40" ht="24" customHeight="1">
      <c r="A7" s="381" t="s">
        <v>144</v>
      </c>
      <c r="B7" s="382"/>
      <c r="C7" s="383"/>
      <c r="D7" s="383"/>
      <c r="E7" s="383"/>
      <c r="F7" s="383"/>
      <c r="G7" s="383"/>
      <c r="H7" s="762" t="s">
        <v>365</v>
      </c>
      <c r="I7" s="763"/>
      <c r="J7" s="763"/>
      <c r="K7" s="764"/>
      <c r="L7" s="384"/>
      <c r="M7" s="385"/>
      <c r="N7" s="375" t="s">
        <v>238</v>
      </c>
      <c r="O7" s="386" t="s">
        <v>164</v>
      </c>
      <c r="P7" s="375" t="s">
        <v>165</v>
      </c>
      <c r="Q7" s="375" t="s">
        <v>166</v>
      </c>
      <c r="R7" s="386" t="s">
        <v>167</v>
      </c>
      <c r="S7" s="386" t="s">
        <v>168</v>
      </c>
      <c r="T7" s="386" t="s">
        <v>169</v>
      </c>
      <c r="U7" s="386" t="s">
        <v>170</v>
      </c>
      <c r="V7" s="386" t="s">
        <v>171</v>
      </c>
      <c r="W7" s="375" t="s">
        <v>172</v>
      </c>
      <c r="X7" s="386" t="s">
        <v>173</v>
      </c>
      <c r="Y7" s="386" t="s">
        <v>174</v>
      </c>
      <c r="Z7" s="375" t="s">
        <v>175</v>
      </c>
      <c r="AA7" s="386" t="s">
        <v>176</v>
      </c>
      <c r="AB7" s="386" t="s">
        <v>178</v>
      </c>
      <c r="AC7" s="375" t="s">
        <v>192</v>
      </c>
      <c r="AD7" s="375" t="s">
        <v>239</v>
      </c>
      <c r="AE7" s="375" t="s">
        <v>240</v>
      </c>
    </row>
    <row r="8" spans="1:40" ht="24" customHeight="1">
      <c r="A8" s="381"/>
      <c r="B8" s="382"/>
      <c r="C8" s="383"/>
      <c r="D8" s="383"/>
      <c r="E8" s="383"/>
      <c r="F8" s="383"/>
      <c r="G8" s="383"/>
      <c r="H8" s="762" t="s">
        <v>204</v>
      </c>
      <c r="I8" s="763"/>
      <c r="J8" s="763"/>
      <c r="K8" s="764"/>
      <c r="L8" s="384"/>
      <c r="M8" s="385"/>
      <c r="AI8" s="387" t="s">
        <v>241</v>
      </c>
      <c r="AJ8" s="388" t="s">
        <v>14</v>
      </c>
      <c r="AK8" s="389" t="s">
        <v>242</v>
      </c>
      <c r="AL8" s="390" t="s">
        <v>243</v>
      </c>
      <c r="AM8" s="391"/>
      <c r="AN8" s="391" t="s">
        <v>244</v>
      </c>
    </row>
    <row r="9" spans="1:40" ht="24" customHeight="1">
      <c r="A9" s="381"/>
      <c r="B9" s="382"/>
      <c r="C9" s="383"/>
      <c r="D9" s="383"/>
      <c r="E9" s="383"/>
      <c r="F9" s="383"/>
      <c r="G9" s="383"/>
      <c r="H9" s="762" t="s">
        <v>205</v>
      </c>
      <c r="I9" s="763"/>
      <c r="J9" s="763"/>
      <c r="K9" s="764"/>
      <c r="L9" s="384"/>
      <c r="M9" s="385"/>
      <c r="N9" s="392">
        <f>SUM(O9:AB9)</f>
        <v>2754.9592476500002</v>
      </c>
      <c r="O9" s="393">
        <v>63.05</v>
      </c>
      <c r="P9" s="393">
        <v>363.36509999999998</v>
      </c>
      <c r="Q9" s="393">
        <v>157.61449099999999</v>
      </c>
      <c r="R9" s="393">
        <v>122.296868</v>
      </c>
      <c r="S9" s="393"/>
      <c r="T9" s="393">
        <v>687.09411299999999</v>
      </c>
      <c r="U9" s="394">
        <v>432.493359</v>
      </c>
      <c r="V9" s="393"/>
      <c r="W9" s="393">
        <v>567.82270000000005</v>
      </c>
      <c r="X9" s="393">
        <v>128.228759</v>
      </c>
      <c r="Y9" s="393">
        <v>39.988</v>
      </c>
      <c r="AA9" s="326">
        <v>103.4341</v>
      </c>
      <c r="AB9" s="393">
        <v>89.571757649999995</v>
      </c>
      <c r="AC9" s="368">
        <f>SUM(O9:AB9)</f>
        <v>2754.9592476500002</v>
      </c>
      <c r="AE9" s="368">
        <f>AC9</f>
        <v>2754.9592476500002</v>
      </c>
      <c r="AI9" s="395">
        <v>1</v>
      </c>
      <c r="AJ9" s="396" t="s">
        <v>245</v>
      </c>
      <c r="AK9" s="397">
        <v>172677500</v>
      </c>
      <c r="AL9" s="398">
        <v>13.36</v>
      </c>
      <c r="AM9" s="399" t="e">
        <f t="shared" ref="AM9:AM20" si="0">AL9*AK9/$C$13</f>
        <v>#DIV/0!</v>
      </c>
      <c r="AN9" s="399">
        <f>AL9*AK9/AK9</f>
        <v>13.36</v>
      </c>
    </row>
    <row r="10" spans="1:40" ht="24" customHeight="1">
      <c r="A10" s="381"/>
      <c r="B10" s="382"/>
      <c r="C10" s="383"/>
      <c r="D10" s="383"/>
      <c r="E10" s="383"/>
      <c r="F10" s="383"/>
      <c r="G10" s="383"/>
      <c r="I10" s="400" t="s">
        <v>54</v>
      </c>
      <c r="J10" s="472">
        <v>84.26</v>
      </c>
      <c r="K10" s="562" t="s">
        <v>51</v>
      </c>
      <c r="L10" s="384"/>
      <c r="M10" s="385"/>
      <c r="N10" s="368">
        <f>(O10*O9+P10*P9+Q10*Q9+R10*R9+S10*S9+T10*T9+U10*U9+V10*V9+W10*W9+X10*X9+Y10*Y9+Z10*Z9+AA10*AA9+AB10*AB9)/N9</f>
        <v>84.754654906071266</v>
      </c>
      <c r="O10" s="393">
        <v>100</v>
      </c>
      <c r="P10" s="393">
        <v>63.46</v>
      </c>
      <c r="Q10" s="393">
        <v>51.39</v>
      </c>
      <c r="R10" s="393">
        <v>100</v>
      </c>
      <c r="S10" s="393"/>
      <c r="T10" s="393">
        <v>100</v>
      </c>
      <c r="U10" s="393">
        <v>98.85</v>
      </c>
      <c r="V10" s="393"/>
      <c r="W10" s="401">
        <v>77.599999999999994</v>
      </c>
      <c r="X10" s="393">
        <v>66.87</v>
      </c>
      <c r="Y10" s="393">
        <v>100</v>
      </c>
      <c r="AA10" s="393">
        <v>71.75</v>
      </c>
      <c r="AB10" s="393">
        <v>92.47</v>
      </c>
      <c r="AC10" s="402">
        <f>J10</f>
        <v>84.26</v>
      </c>
      <c r="AE10" s="402">
        <f>J10</f>
        <v>84.26</v>
      </c>
      <c r="AI10" s="395">
        <v>2</v>
      </c>
      <c r="AJ10" s="396" t="s">
        <v>246</v>
      </c>
      <c r="AK10" s="397">
        <v>525283600</v>
      </c>
      <c r="AL10" s="398">
        <v>35.229999999999997</v>
      </c>
      <c r="AM10" s="399" t="e">
        <f t="shared" si="0"/>
        <v>#DIV/0!</v>
      </c>
      <c r="AN10" s="399">
        <f t="shared" ref="AN10:AN18" si="1">(AL10*AK10/AK10)</f>
        <v>35.229999999999997</v>
      </c>
    </row>
    <row r="11" spans="1:40" ht="24" customHeight="1">
      <c r="A11" s="507"/>
      <c r="B11" s="508"/>
      <c r="C11" s="509"/>
      <c r="D11" s="509"/>
      <c r="E11" s="509"/>
      <c r="F11" s="509"/>
      <c r="G11" s="509"/>
      <c r="H11" s="768"/>
      <c r="I11" s="769"/>
      <c r="J11" s="769"/>
      <c r="K11" s="770"/>
      <c r="L11" s="510"/>
      <c r="M11" s="376"/>
      <c r="AE11" s="368" t="s">
        <v>20</v>
      </c>
      <c r="AI11" s="395"/>
      <c r="AJ11" s="396" t="s">
        <v>247</v>
      </c>
      <c r="AK11" s="397">
        <v>63771100</v>
      </c>
      <c r="AL11" s="398">
        <v>0.28000000000000003</v>
      </c>
      <c r="AM11" s="399" t="e">
        <f t="shared" si="0"/>
        <v>#DIV/0!</v>
      </c>
      <c r="AN11" s="399"/>
    </row>
    <row r="12" spans="1:40" ht="24" customHeight="1">
      <c r="A12" s="379" t="s">
        <v>145</v>
      </c>
      <c r="B12" s="302">
        <v>16.36</v>
      </c>
      <c r="C12" s="506">
        <v>0.69</v>
      </c>
      <c r="D12" s="506">
        <v>0.72</v>
      </c>
      <c r="E12" s="506">
        <v>0.75</v>
      </c>
      <c r="F12" s="506">
        <v>0.78</v>
      </c>
      <c r="G12" s="506">
        <v>0.81</v>
      </c>
      <c r="H12" s="739" t="s">
        <v>206</v>
      </c>
      <c r="I12" s="739"/>
      <c r="J12" s="739"/>
      <c r="K12" s="740"/>
      <c r="L12" s="303">
        <v>5</v>
      </c>
      <c r="M12" s="380">
        <f>IF(L12=0,"-",ROUND(L12*B12/B$66,4))</f>
        <v>1.0462</v>
      </c>
      <c r="P12" s="368" t="s">
        <v>177</v>
      </c>
      <c r="Q12" s="368">
        <v>88227925</v>
      </c>
      <c r="R12" s="368">
        <v>454314777</v>
      </c>
      <c r="S12" s="368">
        <v>163703662</v>
      </c>
      <c r="T12" s="368">
        <v>340069114</v>
      </c>
      <c r="V12" s="368">
        <v>145609485</v>
      </c>
      <c r="W12" s="368">
        <v>376474997</v>
      </c>
      <c r="X12" s="368">
        <v>154664423</v>
      </c>
      <c r="Y12" s="368">
        <v>364453100</v>
      </c>
      <c r="Z12" s="368">
        <v>301496841</v>
      </c>
      <c r="AA12" s="368">
        <v>117859601</v>
      </c>
      <c r="AB12" s="368">
        <v>103922683</v>
      </c>
      <c r="AC12" s="368">
        <v>110709100</v>
      </c>
      <c r="AD12" s="368">
        <v>396724840</v>
      </c>
      <c r="AE12" s="368">
        <f>Q12+R12+S12+T12+V12+W12+X12+Y12+Z12+AA12+AB12+AC12+AD12</f>
        <v>3118230548</v>
      </c>
      <c r="AI12" s="395"/>
      <c r="AJ12" s="396" t="s">
        <v>248</v>
      </c>
      <c r="AK12" s="397">
        <v>85121200</v>
      </c>
      <c r="AL12" s="398">
        <v>2.0499999999999998</v>
      </c>
      <c r="AM12" s="399" t="e">
        <f t="shared" si="0"/>
        <v>#DIV/0!</v>
      </c>
      <c r="AN12" s="399"/>
    </row>
    <row r="13" spans="1:40" ht="24" customHeight="1">
      <c r="A13" s="381" t="s">
        <v>21</v>
      </c>
      <c r="B13" s="382"/>
      <c r="C13" s="383"/>
      <c r="D13" s="383"/>
      <c r="E13" s="383"/>
      <c r="F13" s="383"/>
      <c r="G13" s="383"/>
      <c r="H13" s="762" t="s">
        <v>207</v>
      </c>
      <c r="I13" s="763"/>
      <c r="J13" s="763"/>
      <c r="K13" s="764"/>
      <c r="L13" s="384"/>
      <c r="M13" s="385"/>
      <c r="P13" s="368" t="s">
        <v>179</v>
      </c>
      <c r="Q13" s="368">
        <v>62767727</v>
      </c>
      <c r="R13" s="368">
        <v>213672936</v>
      </c>
      <c r="S13" s="368">
        <v>25795924</v>
      </c>
      <c r="T13" s="368">
        <v>114556854</v>
      </c>
      <c r="V13" s="368">
        <v>128932639</v>
      </c>
      <c r="W13" s="368">
        <v>336587666</v>
      </c>
      <c r="X13" s="368">
        <v>52373847</v>
      </c>
      <c r="Y13" s="368">
        <v>90762837</v>
      </c>
      <c r="Z13" s="368">
        <v>241819557</v>
      </c>
      <c r="AA13" s="368">
        <v>53872593</v>
      </c>
      <c r="AB13" s="368">
        <v>20156387</v>
      </c>
      <c r="AC13" s="368">
        <v>73919342</v>
      </c>
      <c r="AD13" s="368">
        <v>64957443</v>
      </c>
      <c r="AE13" s="403">
        <f>Q13+R13+S13+T13+V13+W13+X13+Y13+Z13+AA13+AB13+AC13+AD13</f>
        <v>1480175752</v>
      </c>
      <c r="AI13" s="395"/>
      <c r="AJ13" s="396" t="s">
        <v>249</v>
      </c>
      <c r="AK13" s="397">
        <v>115875000</v>
      </c>
      <c r="AL13" s="398">
        <v>0</v>
      </c>
      <c r="AM13" s="399" t="e">
        <f t="shared" si="0"/>
        <v>#DIV/0!</v>
      </c>
      <c r="AN13" s="399"/>
    </row>
    <row r="14" spans="1:40" ht="24" customHeight="1">
      <c r="A14" s="381"/>
      <c r="B14" s="382"/>
      <c r="C14" s="383"/>
      <c r="D14" s="383"/>
      <c r="E14" s="383"/>
      <c r="F14" s="383"/>
      <c r="G14" s="383"/>
      <c r="H14" s="762" t="s">
        <v>299</v>
      </c>
      <c r="I14" s="763"/>
      <c r="J14" s="763"/>
      <c r="K14" s="764"/>
      <c r="L14" s="384"/>
      <c r="M14" s="385"/>
      <c r="P14" s="368" t="s">
        <v>194</v>
      </c>
      <c r="Q14" s="368">
        <v>19.71</v>
      </c>
      <c r="R14" s="368">
        <v>38.619999999999997</v>
      </c>
      <c r="S14" s="368">
        <v>5.8</v>
      </c>
      <c r="T14" s="368">
        <v>21.95</v>
      </c>
      <c r="AE14" s="404">
        <f>(AE13/AE12)*100</f>
        <v>47.468451393030229</v>
      </c>
      <c r="AI14" s="395">
        <v>4</v>
      </c>
      <c r="AJ14" s="396" t="s">
        <v>250</v>
      </c>
      <c r="AK14" s="397">
        <v>1039701600</v>
      </c>
      <c r="AL14" s="398">
        <v>5.62</v>
      </c>
      <c r="AM14" s="399" t="e">
        <f t="shared" si="0"/>
        <v>#DIV/0!</v>
      </c>
      <c r="AN14" s="399">
        <f t="shared" si="1"/>
        <v>5.62</v>
      </c>
    </row>
    <row r="15" spans="1:40" ht="24" customHeight="1">
      <c r="A15" s="381"/>
      <c r="B15" s="382"/>
      <c r="C15" s="383"/>
      <c r="D15" s="383"/>
      <c r="E15" s="383"/>
      <c r="F15" s="383"/>
      <c r="G15" s="383"/>
      <c r="H15" s="565"/>
      <c r="I15" s="400" t="s">
        <v>199</v>
      </c>
      <c r="J15" s="472">
        <v>99.93</v>
      </c>
      <c r="K15" s="562" t="s">
        <v>51</v>
      </c>
      <c r="L15" s="384"/>
      <c r="M15" s="385"/>
      <c r="Q15" s="368">
        <f>(Q12*Q14)/AE12</f>
        <v>0.55767922704283635</v>
      </c>
      <c r="R15" s="368">
        <f>(R12*R14)/AE12</f>
        <v>5.6267926369310901</v>
      </c>
      <c r="S15" s="368">
        <f>(S12*S14)/AE12</f>
        <v>0.3044935982071586</v>
      </c>
      <c r="T15" s="368">
        <f>(T12*T14)/AE12</f>
        <v>2.3938310325026038</v>
      </c>
      <c r="V15" s="368">
        <f>(V12*V14)/AE12</f>
        <v>0</v>
      </c>
      <c r="W15" s="368">
        <f>(W12*W14)/AE12</f>
        <v>0</v>
      </c>
      <c r="X15" s="368">
        <f>(X12*X14)/AE12</f>
        <v>0</v>
      </c>
      <c r="Y15" s="368">
        <f>(Y12*Y14)/AE12</f>
        <v>0</v>
      </c>
      <c r="Z15" s="368">
        <f>(Z12*Z14)/AE12</f>
        <v>0</v>
      </c>
      <c r="AA15" s="368">
        <f>(AA12*AA14)/AE12</f>
        <v>0</v>
      </c>
      <c r="AB15" s="368">
        <f>(AB12*AB14)/AE12</f>
        <v>0</v>
      </c>
      <c r="AC15" s="368">
        <f>(AC12*AC14)/AE12</f>
        <v>0</v>
      </c>
      <c r="AD15" s="368">
        <f>(AD12*AD14)/AE12</f>
        <v>0</v>
      </c>
      <c r="AE15" s="368">
        <f>(Q15+R15+S15+T15+V15+W15+X15+Y15+Z15+AA15+AB15+AC15+AD15)/AE12</f>
        <v>2.8486657281903096E-9</v>
      </c>
      <c r="AI15" s="395">
        <v>5</v>
      </c>
      <c r="AJ15" s="396" t="s">
        <v>251</v>
      </c>
      <c r="AK15" s="397">
        <v>636679600</v>
      </c>
      <c r="AL15" s="398">
        <v>13.07</v>
      </c>
      <c r="AM15" s="399" t="e">
        <f t="shared" si="0"/>
        <v>#DIV/0!</v>
      </c>
      <c r="AN15" s="399">
        <f t="shared" si="1"/>
        <v>13.07</v>
      </c>
    </row>
    <row r="16" spans="1:40" ht="24" customHeight="1">
      <c r="A16" s="507"/>
      <c r="B16" s="508"/>
      <c r="C16" s="509"/>
      <c r="D16" s="509"/>
      <c r="E16" s="509"/>
      <c r="F16" s="509"/>
      <c r="G16" s="509"/>
      <c r="H16" s="511"/>
      <c r="I16" s="512"/>
      <c r="J16" s="513"/>
      <c r="K16" s="514"/>
      <c r="L16" s="510"/>
      <c r="M16" s="376"/>
      <c r="S16" s="368">
        <v>278676</v>
      </c>
      <c r="AI16" s="395">
        <v>8</v>
      </c>
      <c r="AJ16" s="396" t="s">
        <v>252</v>
      </c>
      <c r="AK16" s="397">
        <v>168866326</v>
      </c>
      <c r="AL16" s="398">
        <v>25.53</v>
      </c>
      <c r="AM16" s="399" t="e">
        <f t="shared" si="0"/>
        <v>#DIV/0!</v>
      </c>
      <c r="AN16" s="399">
        <f t="shared" si="1"/>
        <v>25.529999999999998</v>
      </c>
    </row>
    <row r="17" spans="1:40" ht="24" customHeight="1">
      <c r="A17" s="379" t="s">
        <v>147</v>
      </c>
      <c r="B17" s="302">
        <v>5.45</v>
      </c>
      <c r="C17" s="405">
        <v>0.96</v>
      </c>
      <c r="D17" s="405">
        <v>0.97</v>
      </c>
      <c r="E17" s="405">
        <v>0.98</v>
      </c>
      <c r="F17" s="405">
        <v>0.99</v>
      </c>
      <c r="G17" s="405">
        <v>1</v>
      </c>
      <c r="H17" s="738" t="s">
        <v>300</v>
      </c>
      <c r="I17" s="739"/>
      <c r="J17" s="739"/>
      <c r="K17" s="740"/>
      <c r="L17" s="303">
        <v>5</v>
      </c>
      <c r="M17" s="380">
        <f>IF(L17=0,"-",ROUND(L17*B17/B$66,4))</f>
        <v>0.34849999999999998</v>
      </c>
      <c r="Q17" s="368" t="s">
        <v>164</v>
      </c>
      <c r="R17" s="368" t="s">
        <v>165</v>
      </c>
      <c r="S17" s="368" t="s">
        <v>166</v>
      </c>
      <c r="T17" s="368" t="s">
        <v>167</v>
      </c>
      <c r="U17" s="368" t="s">
        <v>168</v>
      </c>
      <c r="V17" s="368" t="s">
        <v>169</v>
      </c>
      <c r="W17" s="368" t="s">
        <v>170</v>
      </c>
      <c r="X17" s="368" t="s">
        <v>171</v>
      </c>
      <c r="Y17" s="368" t="s">
        <v>172</v>
      </c>
      <c r="Z17" s="368" t="s">
        <v>173</v>
      </c>
      <c r="AA17" s="368" t="s">
        <v>174</v>
      </c>
      <c r="AB17" s="368" t="s">
        <v>175</v>
      </c>
      <c r="AC17" s="368" t="s">
        <v>176</v>
      </c>
      <c r="AD17" s="368" t="s">
        <v>329</v>
      </c>
      <c r="AE17" s="368" t="s">
        <v>20</v>
      </c>
      <c r="AI17" s="395"/>
      <c r="AJ17" s="396" t="s">
        <v>258</v>
      </c>
      <c r="AK17" s="397">
        <v>72151000</v>
      </c>
      <c r="AL17" s="398">
        <v>20.47</v>
      </c>
      <c r="AM17" s="399" t="e">
        <f t="shared" si="0"/>
        <v>#DIV/0!</v>
      </c>
      <c r="AN17" s="399"/>
    </row>
    <row r="18" spans="1:40" ht="24" customHeight="1">
      <c r="A18" s="381" t="s">
        <v>26</v>
      </c>
      <c r="B18" s="382"/>
      <c r="C18" s="383"/>
      <c r="D18" s="383"/>
      <c r="E18" s="383"/>
      <c r="F18" s="383"/>
      <c r="G18" s="383"/>
      <c r="H18" s="765" t="s">
        <v>301</v>
      </c>
      <c r="I18" s="766"/>
      <c r="J18" s="766"/>
      <c r="K18" s="767"/>
      <c r="L18" s="384"/>
      <c r="M18" s="385"/>
      <c r="P18" s="368" t="s">
        <v>179</v>
      </c>
      <c r="Q18" s="368">
        <v>0</v>
      </c>
      <c r="R18" s="368" t="e">
        <f>R20+#REF!</f>
        <v>#REF!</v>
      </c>
      <c r="S18" s="368" t="e">
        <f>S20+#REF!+S21+S22+S23+S24+S25+S26</f>
        <v>#REF!</v>
      </c>
      <c r="T18" s="368">
        <v>15621046</v>
      </c>
      <c r="W18" s="368" t="e">
        <f>W20+#REF!</f>
        <v>#REF!</v>
      </c>
      <c r="X18" s="368" t="e">
        <f>X20+#REF!</f>
        <v>#REF!</v>
      </c>
      <c r="Y18" s="368">
        <v>3065219</v>
      </c>
      <c r="Z18" s="368" t="e">
        <f>Z20+#REF!</f>
        <v>#REF!</v>
      </c>
      <c r="AA18" s="368">
        <v>5762411</v>
      </c>
      <c r="AB18" s="368">
        <v>15507983</v>
      </c>
      <c r="AD18" s="368" t="e">
        <f>AD20+#REF!</f>
        <v>#REF!</v>
      </c>
      <c r="AE18" s="368" t="e">
        <f>Q18+R18+S18+T18+W18+X18+Y18+AA18+AB18+AD18</f>
        <v>#REF!</v>
      </c>
      <c r="AF18" s="368" t="e">
        <f>AE18/AE19*100</f>
        <v>#REF!</v>
      </c>
      <c r="AG18" s="368" t="e">
        <f>R18+T18+W18+X18+Y18+Z18+AA18+AB18+AD18</f>
        <v>#REF!</v>
      </c>
      <c r="AH18" s="368" t="e">
        <f>AG18/AG19*100</f>
        <v>#REF!</v>
      </c>
      <c r="AI18" s="395">
        <v>12</v>
      </c>
      <c r="AJ18" s="396" t="s">
        <v>259</v>
      </c>
      <c r="AK18" s="397">
        <v>232129108</v>
      </c>
      <c r="AL18" s="398">
        <v>8.2200000000000006</v>
      </c>
      <c r="AM18" s="399" t="e">
        <f t="shared" si="0"/>
        <v>#DIV/0!</v>
      </c>
      <c r="AN18" s="399">
        <f t="shared" si="1"/>
        <v>8.2200000000000006</v>
      </c>
    </row>
    <row r="19" spans="1:40" ht="24" customHeight="1">
      <c r="A19" s="381"/>
      <c r="B19" s="382"/>
      <c r="C19" s="383"/>
      <c r="D19" s="383"/>
      <c r="E19" s="383"/>
      <c r="F19" s="383"/>
      <c r="G19" s="383"/>
      <c r="H19" s="765" t="s">
        <v>302</v>
      </c>
      <c r="I19" s="766"/>
      <c r="J19" s="766"/>
      <c r="K19" s="767"/>
      <c r="L19" s="384"/>
      <c r="M19" s="385"/>
      <c r="P19" s="368" t="s">
        <v>177</v>
      </c>
      <c r="Q19" s="368">
        <v>0</v>
      </c>
      <c r="R19" s="368" t="e">
        <f>#REF!+#REF!</f>
        <v>#REF!</v>
      </c>
      <c r="S19" s="368" t="e">
        <f>#REF!+#REF!+#REF!+#REF!+#REF!+S16+#REF!+#REF!</f>
        <v>#REF!</v>
      </c>
      <c r="T19" s="368">
        <v>31415454</v>
      </c>
      <c r="W19" s="368" t="e">
        <f>#REF!+#REF!</f>
        <v>#REF!</v>
      </c>
      <c r="X19" s="368" t="e">
        <f>#REF!+#REF!</f>
        <v>#REF!</v>
      </c>
      <c r="Y19" s="368">
        <v>3065219</v>
      </c>
      <c r="Z19" s="368" t="e">
        <f>#REF!+#REF!</f>
        <v>#REF!</v>
      </c>
      <c r="AA19" s="368">
        <v>5836386</v>
      </c>
      <c r="AB19" s="368">
        <v>15507983</v>
      </c>
      <c r="AD19" s="368" t="e">
        <f>#REF!+#REF!</f>
        <v>#REF!</v>
      </c>
      <c r="AE19" s="368" t="e">
        <f>Q19+R19+S19+T19+W19+X19+Y19+Z19+AA19+AB19+AD19</f>
        <v>#REF!</v>
      </c>
      <c r="AG19" s="368" t="e">
        <f>R19+T19+W19+X19+Y19+Z19+AA19+AB19</f>
        <v>#REF!</v>
      </c>
      <c r="AI19" s="395">
        <v>13</v>
      </c>
      <c r="AJ19" s="396" t="s">
        <v>260</v>
      </c>
      <c r="AK19" s="397">
        <v>75897000</v>
      </c>
      <c r="AL19" s="398">
        <v>11.23</v>
      </c>
      <c r="AM19" s="399" t="e">
        <f t="shared" si="0"/>
        <v>#DIV/0!</v>
      </c>
      <c r="AN19" s="399" t="e">
        <f>(AL19*AK19/(AK19+AK20+#REF!))+(AL20*AK20/(AK19+AK20+#REF!))+(#REF!*#REF!/(AK19+AK20+#REF!))</f>
        <v>#REF!</v>
      </c>
    </row>
    <row r="20" spans="1:40" ht="24" customHeight="1">
      <c r="A20" s="381"/>
      <c r="B20" s="382"/>
      <c r="C20" s="383"/>
      <c r="D20" s="383"/>
      <c r="E20" s="383"/>
      <c r="F20" s="383"/>
      <c r="G20" s="383"/>
      <c r="H20" s="560"/>
      <c r="I20" s="400" t="s">
        <v>56</v>
      </c>
      <c r="J20" s="472">
        <v>100</v>
      </c>
      <c r="K20" s="562" t="s">
        <v>51</v>
      </c>
      <c r="L20" s="384"/>
      <c r="M20" s="385"/>
      <c r="R20" s="368">
        <v>790426</v>
      </c>
      <c r="S20" s="368">
        <v>5889465</v>
      </c>
      <c r="W20" s="368">
        <v>28318909</v>
      </c>
      <c r="X20" s="368">
        <v>45861247</v>
      </c>
      <c r="Z20" s="368">
        <v>117026964</v>
      </c>
      <c r="AD20" s="368">
        <v>12162287</v>
      </c>
      <c r="AI20" s="395"/>
      <c r="AJ20" s="396" t="s">
        <v>261</v>
      </c>
      <c r="AK20" s="397">
        <v>28808000</v>
      </c>
      <c r="AL20" s="398">
        <v>79.489999999999995</v>
      </c>
      <c r="AM20" s="399" t="e">
        <f t="shared" si="0"/>
        <v>#DIV/0!</v>
      </c>
      <c r="AN20" s="399"/>
    </row>
    <row r="21" spans="1:40" ht="24" customHeight="1">
      <c r="A21" s="507"/>
      <c r="B21" s="508"/>
      <c r="C21" s="509"/>
      <c r="D21" s="509"/>
      <c r="E21" s="509"/>
      <c r="F21" s="509"/>
      <c r="G21" s="509"/>
      <c r="H21" s="511"/>
      <c r="I21" s="519"/>
      <c r="J21" s="519"/>
      <c r="K21" s="520"/>
      <c r="L21" s="510"/>
      <c r="M21" s="376"/>
      <c r="S21" s="368">
        <v>673915</v>
      </c>
      <c r="AI21" s="771" t="s">
        <v>20</v>
      </c>
      <c r="AJ21" s="772"/>
      <c r="AK21" s="408">
        <f>SUM(AK9:AK20)</f>
        <v>3216961034</v>
      </c>
      <c r="AL21" s="409" t="e">
        <f>SUM(AM9:AM20)</f>
        <v>#DIV/0!</v>
      </c>
      <c r="AM21" s="399"/>
      <c r="AN21" s="399"/>
    </row>
    <row r="22" spans="1:40" ht="24" customHeight="1">
      <c r="A22" s="379" t="s">
        <v>148</v>
      </c>
      <c r="B22" s="302">
        <v>5.45</v>
      </c>
      <c r="C22" s="405">
        <v>0.96</v>
      </c>
      <c r="D22" s="405">
        <v>0.97</v>
      </c>
      <c r="E22" s="405">
        <v>0.98</v>
      </c>
      <c r="F22" s="405">
        <v>0.99</v>
      </c>
      <c r="G22" s="405">
        <v>1</v>
      </c>
      <c r="H22" s="779" t="s">
        <v>323</v>
      </c>
      <c r="I22" s="780"/>
      <c r="J22" s="780"/>
      <c r="K22" s="781"/>
      <c r="L22" s="303">
        <v>5</v>
      </c>
      <c r="M22" s="380">
        <f>IF(L22=0,"-",ROUND(L22*B22/B$66,4))</f>
        <v>0.34849999999999998</v>
      </c>
      <c r="S22" s="368">
        <v>59800</v>
      </c>
      <c r="AD22" s="368">
        <v>759313</v>
      </c>
      <c r="AE22" s="368" t="e">
        <f>AD18/AD19*100</f>
        <v>#REF!</v>
      </c>
      <c r="AI22" s="430"/>
      <c r="AJ22" s="431"/>
      <c r="AK22" s="432"/>
      <c r="AL22" s="433"/>
      <c r="AM22" s="434"/>
      <c r="AN22" s="434"/>
    </row>
    <row r="23" spans="1:40" ht="24" customHeight="1">
      <c r="A23" s="381" t="s">
        <v>28</v>
      </c>
      <c r="B23" s="382"/>
      <c r="C23" s="383"/>
      <c r="D23" s="383"/>
      <c r="E23" s="383"/>
      <c r="F23" s="383"/>
      <c r="G23" s="383"/>
      <c r="H23" s="762" t="s">
        <v>324</v>
      </c>
      <c r="I23" s="763"/>
      <c r="J23" s="763"/>
      <c r="K23" s="764"/>
      <c r="L23" s="384"/>
      <c r="M23" s="385"/>
      <c r="S23" s="368">
        <v>921324</v>
      </c>
      <c r="AI23" s="430"/>
      <c r="AJ23" s="431"/>
      <c r="AK23" s="432"/>
      <c r="AL23" s="433"/>
      <c r="AM23" s="434"/>
      <c r="AN23" s="434"/>
    </row>
    <row r="24" spans="1:40" ht="24" customHeight="1">
      <c r="A24" s="381" t="s">
        <v>60</v>
      </c>
      <c r="B24" s="382"/>
      <c r="C24" s="383"/>
      <c r="D24" s="383"/>
      <c r="E24" s="383"/>
      <c r="F24" s="383"/>
      <c r="G24" s="383"/>
      <c r="H24" s="762" t="s">
        <v>325</v>
      </c>
      <c r="I24" s="763"/>
      <c r="J24" s="763"/>
      <c r="K24" s="764"/>
      <c r="L24" s="384"/>
      <c r="M24" s="385"/>
      <c r="S24" s="368">
        <v>278675</v>
      </c>
      <c r="AD24" s="368" t="e">
        <f>AD22+#REF!</f>
        <v>#REF!</v>
      </c>
      <c r="AI24" s="387" t="s">
        <v>263</v>
      </c>
      <c r="AJ24" s="435" t="s">
        <v>14</v>
      </c>
      <c r="AK24" s="436" t="s">
        <v>264</v>
      </c>
      <c r="AL24" s="437" t="s">
        <v>86</v>
      </c>
      <c r="AM24" s="438"/>
      <c r="AN24" s="438" t="s">
        <v>265</v>
      </c>
    </row>
    <row r="25" spans="1:40" ht="24" customHeight="1">
      <c r="A25" s="381"/>
      <c r="B25" s="382"/>
      <c r="C25" s="383"/>
      <c r="D25" s="383"/>
      <c r="E25" s="383"/>
      <c r="F25" s="383"/>
      <c r="G25" s="383"/>
      <c r="H25" s="565"/>
      <c r="I25" s="400" t="s">
        <v>66</v>
      </c>
      <c r="J25" s="591">
        <v>33</v>
      </c>
      <c r="K25" s="566" t="s">
        <v>61</v>
      </c>
      <c r="L25" s="384"/>
      <c r="M25" s="385"/>
      <c r="S25" s="368">
        <v>250781</v>
      </c>
      <c r="AI25" s="439">
        <v>2</v>
      </c>
      <c r="AJ25" s="440" t="s">
        <v>266</v>
      </c>
      <c r="AK25" s="441">
        <v>300000</v>
      </c>
      <c r="AL25" s="442">
        <v>25981.55</v>
      </c>
      <c r="AM25" s="443"/>
      <c r="AN25" s="443">
        <f>AL25*100/AK25</f>
        <v>8.6605166666666662</v>
      </c>
    </row>
    <row r="26" spans="1:40" ht="24" customHeight="1">
      <c r="A26" s="381"/>
      <c r="B26" s="382"/>
      <c r="C26" s="383"/>
      <c r="D26" s="383"/>
      <c r="E26" s="383"/>
      <c r="F26" s="383"/>
      <c r="G26" s="383"/>
      <c r="H26" s="565"/>
      <c r="I26" s="400" t="s">
        <v>67</v>
      </c>
      <c r="J26" s="591">
        <v>33</v>
      </c>
      <c r="K26" s="566" t="s">
        <v>61</v>
      </c>
      <c r="L26" s="384"/>
      <c r="M26" s="385"/>
      <c r="S26" s="368">
        <v>39205</v>
      </c>
      <c r="AD26" s="368" t="e">
        <f>AD24/AD18*100</f>
        <v>#REF!</v>
      </c>
      <c r="AI26" s="395">
        <v>3</v>
      </c>
      <c r="AJ26" s="396" t="s">
        <v>267</v>
      </c>
      <c r="AK26" s="397">
        <v>300000</v>
      </c>
      <c r="AL26" s="410">
        <v>26160</v>
      </c>
      <c r="AM26" s="411"/>
      <c r="AN26" s="411">
        <f t="shared" ref="AN26:AN39" si="2">AL26*100/AK26</f>
        <v>8.7200000000000006</v>
      </c>
    </row>
    <row r="27" spans="1:40" ht="24" customHeight="1">
      <c r="A27" s="381"/>
      <c r="B27" s="382"/>
      <c r="C27" s="383"/>
      <c r="D27" s="383"/>
      <c r="E27" s="383"/>
      <c r="F27" s="383"/>
      <c r="G27" s="383"/>
      <c r="H27" s="560"/>
      <c r="I27" s="589" t="s">
        <v>81</v>
      </c>
      <c r="J27" s="472">
        <f>J26*100/J25</f>
        <v>100</v>
      </c>
      <c r="K27" s="562" t="s">
        <v>51</v>
      </c>
      <c r="L27" s="384"/>
      <c r="M27" s="385"/>
      <c r="R27" s="368" t="e">
        <f>R18/R19*100</f>
        <v>#REF!</v>
      </c>
      <c r="S27" s="368" t="e">
        <f>S18/S19*100</f>
        <v>#REF!</v>
      </c>
      <c r="T27" s="368">
        <f t="shared" ref="T27:AA27" si="3">T18/T19*100</f>
        <v>49.724081657390656</v>
      </c>
      <c r="W27" s="368" t="e">
        <f t="shared" si="3"/>
        <v>#REF!</v>
      </c>
      <c r="X27" s="368" t="e">
        <f t="shared" si="3"/>
        <v>#REF!</v>
      </c>
      <c r="Y27" s="368">
        <f t="shared" si="3"/>
        <v>100</v>
      </c>
      <c r="Z27" s="368" t="e">
        <f t="shared" si="3"/>
        <v>#REF!</v>
      </c>
      <c r="AA27" s="368">
        <f t="shared" si="3"/>
        <v>98.732520433021392</v>
      </c>
      <c r="AB27" s="368">
        <f>AB18/AB19*100</f>
        <v>100</v>
      </c>
      <c r="AD27" s="368" t="e">
        <f>AD18/AD19*100</f>
        <v>#REF!</v>
      </c>
      <c r="AI27" s="395">
        <v>4</v>
      </c>
      <c r="AJ27" s="396" t="s">
        <v>268</v>
      </c>
      <c r="AK27" s="397">
        <v>500000</v>
      </c>
      <c r="AL27" s="410">
        <v>166219.85</v>
      </c>
      <c r="AM27" s="411"/>
      <c r="AN27" s="411">
        <f t="shared" si="2"/>
        <v>33.243969999999997</v>
      </c>
    </row>
    <row r="28" spans="1:40" ht="24" customHeight="1">
      <c r="A28" s="507"/>
      <c r="B28" s="508"/>
      <c r="C28" s="509"/>
      <c r="D28" s="509"/>
      <c r="E28" s="509"/>
      <c r="F28" s="509"/>
      <c r="G28" s="509"/>
      <c r="H28" s="773"/>
      <c r="I28" s="769"/>
      <c r="J28" s="769"/>
      <c r="K28" s="770"/>
      <c r="L28" s="510"/>
      <c r="M28" s="376"/>
      <c r="AI28" s="395">
        <v>6</v>
      </c>
      <c r="AJ28" s="396" t="s">
        <v>269</v>
      </c>
      <c r="AK28" s="397">
        <v>300000</v>
      </c>
      <c r="AL28" s="410">
        <v>49020</v>
      </c>
      <c r="AM28" s="411"/>
      <c r="AN28" s="411">
        <f t="shared" si="2"/>
        <v>16.34</v>
      </c>
    </row>
    <row r="29" spans="1:40" ht="24" customHeight="1">
      <c r="A29" s="379" t="s">
        <v>160</v>
      </c>
      <c r="B29" s="302">
        <v>5.45</v>
      </c>
      <c r="C29" s="405">
        <v>0.5</v>
      </c>
      <c r="D29" s="405">
        <v>0.75</v>
      </c>
      <c r="E29" s="405">
        <v>1</v>
      </c>
      <c r="F29" s="405">
        <v>1</v>
      </c>
      <c r="G29" s="405">
        <v>1</v>
      </c>
      <c r="H29" s="738" t="s">
        <v>309</v>
      </c>
      <c r="I29" s="739"/>
      <c r="J29" s="739"/>
      <c r="K29" s="740"/>
      <c r="L29" s="303">
        <v>1</v>
      </c>
      <c r="M29" s="380">
        <f>IF(L29=0,"-",ROUND(L29*B29/B$66,4))</f>
        <v>6.9699999999999998E-2</v>
      </c>
      <c r="AI29" s="395">
        <v>9</v>
      </c>
      <c r="AJ29" s="396" t="s">
        <v>271</v>
      </c>
      <c r="AK29" s="397">
        <v>300000</v>
      </c>
      <c r="AL29" s="410">
        <v>0</v>
      </c>
      <c r="AM29" s="411"/>
      <c r="AN29" s="411">
        <f t="shared" si="2"/>
        <v>0</v>
      </c>
    </row>
    <row r="30" spans="1:40" ht="24" customHeight="1">
      <c r="A30" s="381" t="s">
        <v>161</v>
      </c>
      <c r="B30" s="515"/>
      <c r="C30" s="516"/>
      <c r="D30" s="516"/>
      <c r="E30" s="516"/>
      <c r="F30" s="516" t="s">
        <v>70</v>
      </c>
      <c r="G30" s="516" t="s">
        <v>70</v>
      </c>
      <c r="H30" s="763" t="s">
        <v>213</v>
      </c>
      <c r="I30" s="763"/>
      <c r="J30" s="763"/>
      <c r="K30" s="764"/>
      <c r="L30" s="384"/>
      <c r="M30" s="385"/>
      <c r="AI30" s="395">
        <v>11</v>
      </c>
      <c r="AJ30" s="396" t="s">
        <v>273</v>
      </c>
      <c r="AK30" s="397">
        <v>500000</v>
      </c>
      <c r="AL30" s="410">
        <v>62536.11</v>
      </c>
      <c r="AM30" s="411"/>
      <c r="AN30" s="411">
        <f t="shared" si="2"/>
        <v>12.507222000000001</v>
      </c>
    </row>
    <row r="31" spans="1:40" ht="24" customHeight="1">
      <c r="A31" s="381" t="s">
        <v>310</v>
      </c>
      <c r="B31" s="515"/>
      <c r="C31" s="516"/>
      <c r="D31" s="516"/>
      <c r="E31" s="516"/>
      <c r="F31" s="516" t="s">
        <v>138</v>
      </c>
      <c r="G31" s="516" t="s">
        <v>139</v>
      </c>
      <c r="H31" s="565" t="s">
        <v>200</v>
      </c>
      <c r="I31" s="400" t="s">
        <v>56</v>
      </c>
      <c r="J31" s="472">
        <v>0</v>
      </c>
      <c r="K31" s="562" t="s">
        <v>51</v>
      </c>
      <c r="L31" s="384"/>
      <c r="M31" s="385"/>
      <c r="AI31" s="395"/>
      <c r="AJ31" s="396" t="s">
        <v>275</v>
      </c>
      <c r="AK31" s="397">
        <v>300000</v>
      </c>
      <c r="AL31" s="410">
        <v>57903.85</v>
      </c>
      <c r="AM31" s="411"/>
      <c r="AN31" s="411">
        <f t="shared" si="2"/>
        <v>19.301283333333334</v>
      </c>
    </row>
    <row r="32" spans="1:40" ht="24" customHeight="1">
      <c r="A32" s="507"/>
      <c r="B32" s="508"/>
      <c r="C32" s="509"/>
      <c r="D32" s="509"/>
      <c r="E32" s="509"/>
      <c r="F32" s="509"/>
      <c r="G32" s="509"/>
      <c r="H32" s="773"/>
      <c r="I32" s="774"/>
      <c r="J32" s="774"/>
      <c r="K32" s="775"/>
      <c r="L32" s="510"/>
      <c r="M32" s="376"/>
      <c r="AI32" s="395"/>
      <c r="AJ32" s="396" t="s">
        <v>276</v>
      </c>
      <c r="AK32" s="397">
        <v>300000</v>
      </c>
      <c r="AL32" s="410">
        <v>94848.7</v>
      </c>
      <c r="AM32" s="411"/>
      <c r="AN32" s="411">
        <f t="shared" si="2"/>
        <v>31.616233333333334</v>
      </c>
    </row>
    <row r="33" spans="1:40" ht="24" customHeight="1">
      <c r="A33" s="379" t="s">
        <v>149</v>
      </c>
      <c r="B33" s="302">
        <v>16.36</v>
      </c>
      <c r="C33" s="405">
        <v>0.75</v>
      </c>
      <c r="D33" s="405">
        <v>0.78</v>
      </c>
      <c r="E33" s="405">
        <v>0.81</v>
      </c>
      <c r="F33" s="405">
        <v>0.84</v>
      </c>
      <c r="G33" s="405">
        <v>0.87</v>
      </c>
      <c r="H33" s="738" t="s">
        <v>303</v>
      </c>
      <c r="I33" s="739"/>
      <c r="J33" s="739"/>
      <c r="K33" s="740"/>
      <c r="L33" s="303">
        <v>1</v>
      </c>
      <c r="M33" s="380">
        <f>IF(L33=0,"-",ROUND(L33*B33/B$66,4))</f>
        <v>0.2092</v>
      </c>
      <c r="AI33" s="395">
        <v>13</v>
      </c>
      <c r="AJ33" s="396" t="s">
        <v>281</v>
      </c>
      <c r="AK33" s="397">
        <v>300000</v>
      </c>
      <c r="AL33" s="410">
        <v>205897.2</v>
      </c>
      <c r="AM33" s="411"/>
      <c r="AN33" s="411">
        <f t="shared" si="2"/>
        <v>68.632400000000004</v>
      </c>
    </row>
    <row r="34" spans="1:40" ht="24" customHeight="1">
      <c r="A34" s="381" t="s">
        <v>137</v>
      </c>
      <c r="B34" s="382"/>
      <c r="C34" s="383"/>
      <c r="D34" s="383"/>
      <c r="E34" s="383"/>
      <c r="F34" s="383"/>
      <c r="G34" s="383"/>
      <c r="H34" s="762" t="s">
        <v>272</v>
      </c>
      <c r="I34" s="763"/>
      <c r="J34" s="763"/>
      <c r="K34" s="764"/>
      <c r="L34" s="384"/>
      <c r="M34" s="385"/>
      <c r="AI34" s="395"/>
      <c r="AJ34" s="396" t="s">
        <v>282</v>
      </c>
      <c r="AK34" s="397">
        <v>300000</v>
      </c>
      <c r="AL34" s="410">
        <v>100339.9</v>
      </c>
      <c r="AM34" s="411"/>
      <c r="AN34" s="411">
        <f t="shared" si="2"/>
        <v>33.446633333333331</v>
      </c>
    </row>
    <row r="35" spans="1:40" ht="24" customHeight="1">
      <c r="A35" s="381"/>
      <c r="B35" s="382"/>
      <c r="C35" s="383"/>
      <c r="D35" s="383"/>
      <c r="E35" s="383"/>
      <c r="F35" s="383"/>
      <c r="G35" s="383"/>
      <c r="H35" s="589"/>
      <c r="I35" s="589" t="s">
        <v>87</v>
      </c>
      <c r="J35" s="590">
        <v>1037774900</v>
      </c>
      <c r="K35" s="562" t="s">
        <v>163</v>
      </c>
      <c r="L35" s="384"/>
      <c r="M35" s="385"/>
      <c r="AI35" s="395"/>
      <c r="AJ35" s="396" t="s">
        <v>283</v>
      </c>
      <c r="AK35" s="397">
        <v>300000</v>
      </c>
      <c r="AL35" s="410">
        <v>57000</v>
      </c>
      <c r="AM35" s="411"/>
      <c r="AN35" s="411">
        <f t="shared" si="2"/>
        <v>19</v>
      </c>
    </row>
    <row r="36" spans="1:40" ht="24" customHeight="1">
      <c r="A36" s="381"/>
      <c r="B36" s="382"/>
      <c r="C36" s="383"/>
      <c r="D36" s="383"/>
      <c r="E36" s="383"/>
      <c r="F36" s="383"/>
      <c r="G36" s="383"/>
      <c r="H36" s="589"/>
      <c r="I36" s="400" t="s">
        <v>195</v>
      </c>
      <c r="J36" s="591">
        <v>394287543</v>
      </c>
      <c r="K36" s="562" t="s">
        <v>163</v>
      </c>
      <c r="L36" s="384"/>
      <c r="M36" s="385"/>
      <c r="AI36" s="395"/>
      <c r="AJ36" s="396" t="s">
        <v>284</v>
      </c>
      <c r="AK36" s="397">
        <v>300000</v>
      </c>
      <c r="AL36" s="410">
        <v>54914.85</v>
      </c>
      <c r="AM36" s="411"/>
      <c r="AN36" s="411">
        <f t="shared" si="2"/>
        <v>18.304950000000002</v>
      </c>
    </row>
    <row r="37" spans="1:40" ht="24" customHeight="1">
      <c r="A37" s="381"/>
      <c r="B37" s="382"/>
      <c r="C37" s="383"/>
      <c r="D37" s="383"/>
      <c r="E37" s="383"/>
      <c r="F37" s="383"/>
      <c r="G37" s="383"/>
      <c r="H37" s="589"/>
      <c r="I37" s="400" t="s">
        <v>196</v>
      </c>
      <c r="J37" s="472">
        <v>34.79</v>
      </c>
      <c r="K37" s="562" t="s">
        <v>51</v>
      </c>
      <c r="L37" s="384"/>
      <c r="M37" s="385"/>
      <c r="AI37" s="395"/>
      <c r="AJ37" s="396" t="s">
        <v>285</v>
      </c>
      <c r="AK37" s="397">
        <v>300000</v>
      </c>
      <c r="AL37" s="410">
        <v>66279.649999999994</v>
      </c>
      <c r="AM37" s="411"/>
      <c r="AN37" s="411">
        <f t="shared" si="2"/>
        <v>22.093216666666663</v>
      </c>
    </row>
    <row r="38" spans="1:40" ht="24" customHeight="1">
      <c r="A38" s="507"/>
      <c r="B38" s="508"/>
      <c r="C38" s="509"/>
      <c r="D38" s="509"/>
      <c r="E38" s="509"/>
      <c r="F38" s="509"/>
      <c r="G38" s="509"/>
      <c r="H38" s="592"/>
      <c r="I38" s="519"/>
      <c r="J38" s="593"/>
      <c r="K38" s="520"/>
      <c r="L38" s="510"/>
      <c r="M38" s="376"/>
      <c r="AI38" s="395"/>
      <c r="AJ38" s="396" t="s">
        <v>286</v>
      </c>
      <c r="AK38" s="397">
        <v>500000</v>
      </c>
      <c r="AL38" s="410">
        <v>147338.20000000001</v>
      </c>
      <c r="AM38" s="411"/>
      <c r="AN38" s="411">
        <f t="shared" si="2"/>
        <v>29.467640000000003</v>
      </c>
    </row>
    <row r="39" spans="1:40" ht="24" customHeight="1">
      <c r="A39" s="379" t="s">
        <v>150</v>
      </c>
      <c r="B39" s="302">
        <v>1.87</v>
      </c>
      <c r="C39" s="405">
        <v>0.6</v>
      </c>
      <c r="D39" s="405">
        <v>0.65</v>
      </c>
      <c r="E39" s="405">
        <v>0.7</v>
      </c>
      <c r="F39" s="405">
        <v>0.75</v>
      </c>
      <c r="G39" s="405">
        <v>0.8</v>
      </c>
      <c r="H39" s="738" t="s">
        <v>222</v>
      </c>
      <c r="I39" s="739"/>
      <c r="J39" s="739"/>
      <c r="K39" s="740"/>
      <c r="L39" s="303">
        <v>5</v>
      </c>
      <c r="M39" s="380">
        <f>IF(L39=0,"-",ROUND(L39*B39/B$66,4))</f>
        <v>0.1196</v>
      </c>
      <c r="AI39" s="395"/>
      <c r="AJ39" s="396" t="s">
        <v>277</v>
      </c>
      <c r="AK39" s="397">
        <v>500000</v>
      </c>
      <c r="AL39" s="410">
        <v>150000</v>
      </c>
      <c r="AM39" s="411"/>
      <c r="AN39" s="411">
        <f t="shared" si="2"/>
        <v>30</v>
      </c>
    </row>
    <row r="40" spans="1:40" ht="24" customHeight="1">
      <c r="A40" s="381" t="s">
        <v>151</v>
      </c>
      <c r="B40" s="515"/>
      <c r="C40" s="594"/>
      <c r="D40" s="594"/>
      <c r="E40" s="594"/>
      <c r="F40" s="594"/>
      <c r="G40" s="594"/>
      <c r="H40" s="762" t="s">
        <v>223</v>
      </c>
      <c r="I40" s="763"/>
      <c r="J40" s="763"/>
      <c r="K40" s="764"/>
      <c r="L40" s="384"/>
      <c r="M40" s="385"/>
      <c r="AI40" s="395"/>
      <c r="AJ40" s="396"/>
      <c r="AK40" s="397" t="e">
        <f>AK25+AK26+AK27+#REF!+AK28+AK29+AK30+AK31+#REF!+AK32+AK33+AK34+AK35+AK36+AK37+AK38+AK39</f>
        <v>#REF!</v>
      </c>
      <c r="AL40" s="410" t="e">
        <f>AL25+AL26+AL27+#REF!+AL28+AL29+AL30+AL31+#REF!+AL32+AL33+AL34+AL35+AL36+AL37+AL38+AL39</f>
        <v>#REF!</v>
      </c>
      <c r="AM40" s="411"/>
      <c r="AN40" s="411" t="e">
        <f>AL40*100/AK40</f>
        <v>#REF!</v>
      </c>
    </row>
    <row r="41" spans="1:40" ht="24" customHeight="1">
      <c r="A41" s="381" t="s">
        <v>91</v>
      </c>
      <c r="B41" s="382"/>
      <c r="C41" s="383"/>
      <c r="D41" s="383"/>
      <c r="E41" s="383"/>
      <c r="F41" s="383"/>
      <c r="G41" s="383"/>
      <c r="H41" s="762" t="s">
        <v>224</v>
      </c>
      <c r="I41" s="763"/>
      <c r="J41" s="763"/>
      <c r="K41" s="764"/>
      <c r="L41" s="384"/>
      <c r="M41" s="385"/>
    </row>
    <row r="42" spans="1:40" ht="24" customHeight="1">
      <c r="A42" s="381"/>
      <c r="B42" s="382"/>
      <c r="C42" s="383"/>
      <c r="D42" s="383"/>
      <c r="E42" s="383"/>
      <c r="F42" s="383"/>
      <c r="G42" s="383"/>
      <c r="H42" s="565"/>
      <c r="I42" s="400" t="s">
        <v>97</v>
      </c>
      <c r="J42" s="591">
        <v>271</v>
      </c>
      <c r="K42" s="566" t="s">
        <v>96</v>
      </c>
      <c r="L42" s="384"/>
      <c r="M42" s="385"/>
    </row>
    <row r="43" spans="1:40" ht="24" customHeight="1">
      <c r="A43" s="381"/>
      <c r="B43" s="382"/>
      <c r="C43" s="383"/>
      <c r="D43" s="383"/>
      <c r="E43" s="383"/>
      <c r="F43" s="383"/>
      <c r="G43" s="383"/>
      <c r="H43" s="565"/>
      <c r="I43" s="400" t="s">
        <v>98</v>
      </c>
      <c r="J43" s="591">
        <v>271</v>
      </c>
      <c r="K43" s="566" t="s">
        <v>96</v>
      </c>
      <c r="L43" s="384"/>
      <c r="M43" s="385"/>
    </row>
    <row r="44" spans="1:40" ht="24" customHeight="1">
      <c r="A44" s="381"/>
      <c r="B44" s="382"/>
      <c r="C44" s="383"/>
      <c r="D44" s="383"/>
      <c r="E44" s="383"/>
      <c r="F44" s="383"/>
      <c r="G44" s="383"/>
      <c r="H44" s="560"/>
      <c r="I44" s="400" t="s">
        <v>35</v>
      </c>
      <c r="J44" s="486">
        <f>ROUND(J43*100/J42,2)</f>
        <v>100</v>
      </c>
      <c r="K44" s="562" t="s">
        <v>51</v>
      </c>
      <c r="L44" s="384"/>
      <c r="M44" s="385"/>
    </row>
    <row r="45" spans="1:40" ht="24" customHeight="1">
      <c r="A45" s="507"/>
      <c r="B45" s="508"/>
      <c r="C45" s="509"/>
      <c r="D45" s="509"/>
      <c r="E45" s="509"/>
      <c r="F45" s="509"/>
      <c r="G45" s="509"/>
      <c r="H45" s="595"/>
      <c r="I45" s="596"/>
      <c r="J45" s="596"/>
      <c r="K45" s="567"/>
      <c r="L45" s="510"/>
      <c r="M45" s="376"/>
    </row>
    <row r="46" spans="1:40" ht="24" customHeight="1">
      <c r="A46" s="597" t="s">
        <v>152</v>
      </c>
      <c r="B46" s="490">
        <v>5.45</v>
      </c>
      <c r="C46" s="598">
        <v>0.65</v>
      </c>
      <c r="D46" s="598">
        <v>0.7</v>
      </c>
      <c r="E46" s="598">
        <v>0.75</v>
      </c>
      <c r="F46" s="598">
        <v>0.8</v>
      </c>
      <c r="G46" s="598">
        <v>0.85</v>
      </c>
      <c r="H46" s="738" t="s">
        <v>225</v>
      </c>
      <c r="I46" s="739"/>
      <c r="J46" s="739"/>
      <c r="K46" s="740"/>
      <c r="L46" s="303">
        <v>4.7939999999999996</v>
      </c>
      <c r="M46" s="380">
        <f>IF(L46=0,"-",ROUND(L46*B46/B$66,4))</f>
        <v>0.3342</v>
      </c>
    </row>
    <row r="47" spans="1:40" ht="24" customHeight="1">
      <c r="A47" s="381" t="s">
        <v>153</v>
      </c>
      <c r="B47" s="382"/>
      <c r="C47" s="383"/>
      <c r="D47" s="383"/>
      <c r="E47" s="383"/>
      <c r="F47" s="383"/>
      <c r="G47" s="383"/>
      <c r="H47" s="762" t="s">
        <v>226</v>
      </c>
      <c r="I47" s="763"/>
      <c r="J47" s="763"/>
      <c r="K47" s="764"/>
      <c r="L47" s="384"/>
      <c r="M47" s="385"/>
    </row>
    <row r="48" spans="1:40" ht="24" customHeight="1">
      <c r="A48" s="599" t="s">
        <v>162</v>
      </c>
      <c r="B48" s="382"/>
      <c r="C48" s="383"/>
      <c r="D48" s="383"/>
      <c r="E48" s="383"/>
      <c r="F48" s="383"/>
      <c r="G48" s="383"/>
      <c r="H48" s="565" t="s">
        <v>200</v>
      </c>
      <c r="I48" s="600" t="s">
        <v>113</v>
      </c>
      <c r="J48" s="486">
        <v>83.97</v>
      </c>
      <c r="K48" s="562" t="s">
        <v>51</v>
      </c>
      <c r="L48" s="384"/>
      <c r="M48" s="385"/>
    </row>
    <row r="49" spans="1:34" ht="24" customHeight="1">
      <c r="A49" s="381"/>
      <c r="B49" s="382"/>
      <c r="C49" s="383"/>
      <c r="D49" s="383"/>
      <c r="E49" s="383"/>
      <c r="F49" s="383"/>
      <c r="G49" s="517"/>
      <c r="H49" s="601"/>
      <c r="I49" s="601"/>
      <c r="J49" s="601"/>
      <c r="K49" s="601"/>
      <c r="L49" s="384"/>
      <c r="M49" s="385"/>
    </row>
    <row r="50" spans="1:34" ht="24" customHeight="1">
      <c r="A50" s="379" t="s">
        <v>154</v>
      </c>
      <c r="B50" s="490">
        <v>5.45</v>
      </c>
      <c r="C50" s="496" t="s">
        <v>29</v>
      </c>
      <c r="D50" s="496" t="s">
        <v>30</v>
      </c>
      <c r="E50" s="496" t="s">
        <v>31</v>
      </c>
      <c r="F50" s="496" t="s">
        <v>32</v>
      </c>
      <c r="G50" s="496" t="s">
        <v>33</v>
      </c>
      <c r="H50" s="738" t="s">
        <v>227</v>
      </c>
      <c r="I50" s="739"/>
      <c r="J50" s="739"/>
      <c r="K50" s="740"/>
      <c r="L50" s="303">
        <v>1</v>
      </c>
      <c r="M50" s="380">
        <f>IF(L50=0,"-",ROUND(L50*B50/B$66,4))</f>
        <v>6.9699999999999998E-2</v>
      </c>
    </row>
    <row r="51" spans="1:34" ht="24" customHeight="1">
      <c r="A51" s="381" t="s">
        <v>107</v>
      </c>
      <c r="B51" s="382"/>
      <c r="C51" s="497">
        <v>1.5</v>
      </c>
      <c r="D51" s="497">
        <v>2</v>
      </c>
      <c r="E51" s="497">
        <v>2.5</v>
      </c>
      <c r="F51" s="497">
        <v>3</v>
      </c>
      <c r="G51" s="497">
        <v>5</v>
      </c>
      <c r="H51" s="762" t="s">
        <v>228</v>
      </c>
      <c r="I51" s="763"/>
      <c r="J51" s="763"/>
      <c r="K51" s="764"/>
      <c r="L51" s="384"/>
      <c r="M51" s="385"/>
    </row>
    <row r="52" spans="1:34" ht="24" customHeight="1">
      <c r="A52" s="381" t="s">
        <v>310</v>
      </c>
      <c r="B52" s="382"/>
      <c r="C52" s="517"/>
      <c r="D52" s="517"/>
      <c r="E52" s="517"/>
      <c r="F52" s="517"/>
      <c r="G52" s="517"/>
      <c r="H52" s="762" t="s">
        <v>213</v>
      </c>
      <c r="I52" s="763"/>
      <c r="J52" s="763"/>
      <c r="K52" s="764"/>
      <c r="L52" s="384"/>
      <c r="M52" s="385"/>
    </row>
    <row r="53" spans="1:34" ht="24" customHeight="1">
      <c r="A53" s="381"/>
      <c r="B53" s="382"/>
      <c r="C53" s="517"/>
      <c r="D53" s="517"/>
      <c r="E53" s="517"/>
      <c r="F53" s="517"/>
      <c r="G53" s="517"/>
      <c r="H53" s="560"/>
      <c r="I53" s="400" t="s">
        <v>112</v>
      </c>
      <c r="J53" s="472" t="s">
        <v>11</v>
      </c>
      <c r="K53" s="566"/>
      <c r="L53" s="384"/>
      <c r="M53" s="385"/>
    </row>
    <row r="54" spans="1:34" ht="24" customHeight="1">
      <c r="A54" s="507"/>
      <c r="B54" s="508"/>
      <c r="C54" s="509"/>
      <c r="D54" s="509"/>
      <c r="E54" s="509"/>
      <c r="F54" s="509"/>
      <c r="G54" s="509"/>
      <c r="H54" s="511"/>
      <c r="I54" s="519"/>
      <c r="J54" s="519"/>
      <c r="K54" s="520"/>
      <c r="L54" s="510"/>
      <c r="M54" s="376"/>
    </row>
    <row r="55" spans="1:34" ht="24" customHeight="1">
      <c r="A55" s="602" t="s">
        <v>155</v>
      </c>
      <c r="B55" s="490">
        <v>5.45</v>
      </c>
      <c r="C55" s="598">
        <v>0.1</v>
      </c>
      <c r="D55" s="598">
        <v>0.3</v>
      </c>
      <c r="E55" s="598">
        <v>0.5</v>
      </c>
      <c r="F55" s="598">
        <v>0.7</v>
      </c>
      <c r="G55" s="598">
        <v>1</v>
      </c>
      <c r="H55" s="738" t="s">
        <v>316</v>
      </c>
      <c r="I55" s="739"/>
      <c r="J55" s="739"/>
      <c r="K55" s="740"/>
      <c r="L55" s="303">
        <f>ROUND(4+((J58-70)*1/30),4)</f>
        <v>4.8333000000000004</v>
      </c>
      <c r="M55" s="380">
        <f>IF(L55=0,"-",ROUND(L55*B55/B$66,4))</f>
        <v>0.33689999999999998</v>
      </c>
      <c r="Q55" s="368" t="s">
        <v>164</v>
      </c>
      <c r="R55" s="368" t="s">
        <v>165</v>
      </c>
      <c r="S55" s="368" t="s">
        <v>166</v>
      </c>
      <c r="T55" s="368" t="s">
        <v>180</v>
      </c>
      <c r="U55" s="368" t="s">
        <v>181</v>
      </c>
      <c r="V55" s="368" t="s">
        <v>278</v>
      </c>
      <c r="W55" s="368" t="s">
        <v>183</v>
      </c>
      <c r="X55" s="368" t="s">
        <v>184</v>
      </c>
      <c r="Y55" s="368" t="s">
        <v>185</v>
      </c>
      <c r="Z55" s="368" t="s">
        <v>186</v>
      </c>
      <c r="AA55" s="368" t="s">
        <v>187</v>
      </c>
      <c r="AB55" s="368" t="s">
        <v>188</v>
      </c>
      <c r="AC55" s="368" t="s">
        <v>189</v>
      </c>
      <c r="AD55" s="368" t="s">
        <v>190</v>
      </c>
      <c r="AE55" s="368" t="s">
        <v>191</v>
      </c>
      <c r="AF55" s="368" t="s">
        <v>192</v>
      </c>
      <c r="AG55" s="368" t="s">
        <v>193</v>
      </c>
      <c r="AH55" s="368" t="s">
        <v>20</v>
      </c>
    </row>
    <row r="56" spans="1:34" ht="24" customHeight="1">
      <c r="A56" s="603" t="s">
        <v>197</v>
      </c>
      <c r="B56" s="604"/>
      <c r="C56" s="383"/>
      <c r="D56" s="383"/>
      <c r="E56" s="383"/>
      <c r="F56" s="383"/>
      <c r="G56" s="406"/>
      <c r="H56" s="560" t="s">
        <v>317</v>
      </c>
      <c r="I56" s="501"/>
      <c r="J56" s="581"/>
      <c r="K56" s="582"/>
      <c r="L56" s="518"/>
      <c r="M56" s="385"/>
      <c r="Q56" s="368">
        <v>82</v>
      </c>
      <c r="R56" s="368">
        <v>100</v>
      </c>
      <c r="S56" s="368">
        <v>0</v>
      </c>
      <c r="T56" s="368">
        <v>82</v>
      </c>
      <c r="U56" s="368">
        <v>72</v>
      </c>
      <c r="V56" s="368">
        <v>81</v>
      </c>
      <c r="W56" s="368">
        <v>95</v>
      </c>
      <c r="X56" s="368">
        <v>72</v>
      </c>
      <c r="Y56" s="368">
        <v>80</v>
      </c>
      <c r="Z56" s="368">
        <v>76</v>
      </c>
      <c r="AA56" s="368">
        <v>76</v>
      </c>
      <c r="AB56" s="368">
        <v>86</v>
      </c>
      <c r="AC56" s="368">
        <v>76</v>
      </c>
      <c r="AD56" s="368">
        <v>70</v>
      </c>
      <c r="AE56" s="368">
        <v>100</v>
      </c>
      <c r="AF56" s="368">
        <v>72</v>
      </c>
      <c r="AG56" s="368">
        <v>95</v>
      </c>
      <c r="AH56" s="404">
        <f>(Q56+R56+S56+T56+U56+V56+W56+X56+Y56+Z56+AA56+AB56+AC56+AD56+AE56+AF56+AG56)/17</f>
        <v>77.352941176470594</v>
      </c>
    </row>
    <row r="57" spans="1:34" ht="24" customHeight="1">
      <c r="A57" s="381" t="s">
        <v>310</v>
      </c>
      <c r="B57" s="604"/>
      <c r="C57" s="383"/>
      <c r="D57" s="383"/>
      <c r="E57" s="383"/>
      <c r="F57" s="383"/>
      <c r="G57" s="383"/>
      <c r="H57" s="561" t="s">
        <v>231</v>
      </c>
      <c r="I57" s="501"/>
      <c r="J57" s="581"/>
      <c r="K57" s="582"/>
      <c r="L57" s="518"/>
      <c r="M57" s="385"/>
    </row>
    <row r="58" spans="1:34" ht="24" customHeight="1">
      <c r="A58" s="603"/>
      <c r="B58" s="604"/>
      <c r="C58" s="383"/>
      <c r="D58" s="383"/>
      <c r="E58" s="383"/>
      <c r="F58" s="383"/>
      <c r="G58" s="383"/>
      <c r="H58" s="560"/>
      <c r="I58" s="400" t="s">
        <v>114</v>
      </c>
      <c r="J58" s="545">
        <v>95</v>
      </c>
      <c r="K58" s="562" t="s">
        <v>51</v>
      </c>
      <c r="L58" s="518"/>
      <c r="M58" s="385"/>
      <c r="P58" s="305"/>
    </row>
    <row r="59" spans="1:34" ht="24" customHeight="1">
      <c r="A59" s="605"/>
      <c r="B59" s="606"/>
      <c r="C59" s="509"/>
      <c r="D59" s="509"/>
      <c r="E59" s="509"/>
      <c r="F59" s="509"/>
      <c r="G59" s="509"/>
      <c r="H59" s="512"/>
      <c r="I59" s="519"/>
      <c r="J59" s="519"/>
      <c r="K59" s="520"/>
      <c r="L59" s="607"/>
      <c r="M59" s="376"/>
    </row>
    <row r="60" spans="1:34" ht="24" customHeight="1">
      <c r="A60" s="379" t="s">
        <v>156</v>
      </c>
      <c r="B60" s="490">
        <v>5.45</v>
      </c>
      <c r="C60" s="498">
        <v>0.8</v>
      </c>
      <c r="D60" s="498">
        <v>0.85</v>
      </c>
      <c r="E60" s="498">
        <v>0.9</v>
      </c>
      <c r="F60" s="498">
        <v>0.95</v>
      </c>
      <c r="G60" s="498">
        <v>1</v>
      </c>
      <c r="H60" s="738" t="s">
        <v>304</v>
      </c>
      <c r="I60" s="739"/>
      <c r="J60" s="739"/>
      <c r="K60" s="740"/>
      <c r="L60" s="303">
        <f>ROUND(4+((J64-95)*1/5),4)</f>
        <v>4.87</v>
      </c>
      <c r="M60" s="380">
        <f>IF(L60=0,"-",ROUND(L60*B60/B$66,4))</f>
        <v>0.33939999999999998</v>
      </c>
      <c r="R60" s="413"/>
    </row>
    <row r="61" spans="1:34" ht="24" customHeight="1">
      <c r="A61" s="381" t="s">
        <v>116</v>
      </c>
      <c r="B61" s="382"/>
      <c r="C61" s="497"/>
      <c r="D61" s="497"/>
      <c r="E61" s="497"/>
      <c r="F61" s="497"/>
      <c r="G61" s="497"/>
      <c r="H61" s="762" t="s">
        <v>305</v>
      </c>
      <c r="I61" s="763"/>
      <c r="J61" s="763"/>
      <c r="K61" s="764"/>
      <c r="L61" s="384"/>
      <c r="M61" s="385"/>
    </row>
    <row r="62" spans="1:34" ht="24" customHeight="1">
      <c r="A62" s="381" t="s">
        <v>310</v>
      </c>
      <c r="B62" s="382"/>
      <c r="C62" s="383"/>
      <c r="D62" s="383"/>
      <c r="E62" s="383"/>
      <c r="F62" s="383"/>
      <c r="G62" s="383"/>
      <c r="H62" s="762" t="s">
        <v>306</v>
      </c>
      <c r="I62" s="763"/>
      <c r="J62" s="763"/>
      <c r="K62" s="764"/>
      <c r="L62" s="384"/>
      <c r="M62" s="385"/>
      <c r="O62" s="375"/>
      <c r="P62" s="375"/>
      <c r="Q62" s="375"/>
      <c r="R62" s="375"/>
      <c r="S62" s="375"/>
      <c r="T62" s="375"/>
      <c r="U62" s="375"/>
      <c r="V62" s="375"/>
      <c r="W62" s="375"/>
      <c r="X62" s="375"/>
      <c r="Y62" s="375"/>
      <c r="Z62" s="375"/>
      <c r="AA62" s="375"/>
      <c r="AB62" s="375"/>
      <c r="AC62" s="375"/>
      <c r="AD62" s="375"/>
      <c r="AE62" s="375"/>
      <c r="AF62" s="375"/>
    </row>
    <row r="63" spans="1:34" ht="24" customHeight="1">
      <c r="A63" s="381"/>
      <c r="B63" s="382"/>
      <c r="C63" s="383"/>
      <c r="D63" s="383"/>
      <c r="E63" s="383"/>
      <c r="F63" s="383"/>
      <c r="G63" s="383"/>
      <c r="H63" s="560" t="s">
        <v>307</v>
      </c>
      <c r="I63" s="561"/>
      <c r="J63" s="561"/>
      <c r="K63" s="562"/>
      <c r="L63" s="384"/>
      <c r="M63" s="385"/>
      <c r="O63" s="414"/>
      <c r="P63" s="414"/>
      <c r="Q63" s="414"/>
      <c r="R63" s="414"/>
      <c r="S63" s="414"/>
      <c r="T63" s="414"/>
      <c r="U63" s="414"/>
      <c r="V63" s="414"/>
      <c r="W63" s="414"/>
      <c r="X63" s="414"/>
      <c r="Y63" s="414"/>
      <c r="Z63" s="414"/>
      <c r="AA63" s="414"/>
      <c r="AB63" s="414"/>
      <c r="AC63" s="414"/>
      <c r="AD63" s="414"/>
      <c r="AE63" s="414"/>
      <c r="AF63" s="414"/>
    </row>
    <row r="64" spans="1:34" ht="24" customHeight="1">
      <c r="A64" s="381"/>
      <c r="B64" s="382"/>
      <c r="C64" s="383"/>
      <c r="D64" s="383"/>
      <c r="E64" s="383"/>
      <c r="F64" s="383"/>
      <c r="G64" s="383"/>
      <c r="H64" s="560"/>
      <c r="I64" s="400" t="s">
        <v>114</v>
      </c>
      <c r="J64" s="545">
        <v>99.35</v>
      </c>
      <c r="K64" s="566" t="s">
        <v>51</v>
      </c>
      <c r="L64" s="384"/>
      <c r="M64" s="385"/>
      <c r="O64" s="414"/>
      <c r="P64" s="414"/>
      <c r="Q64" s="414"/>
      <c r="R64" s="414"/>
      <c r="S64" s="414"/>
      <c r="T64" s="414"/>
      <c r="U64" s="414"/>
      <c r="V64" s="414"/>
      <c r="W64" s="414"/>
      <c r="X64" s="414"/>
      <c r="Y64" s="414"/>
      <c r="Z64" s="414"/>
      <c r="AA64" s="414"/>
      <c r="AB64" s="414"/>
      <c r="AC64" s="414"/>
      <c r="AD64" s="414"/>
      <c r="AE64" s="414"/>
      <c r="AF64" s="414"/>
    </row>
    <row r="65" spans="1:32" ht="24" customHeight="1">
      <c r="A65" s="381"/>
      <c r="B65" s="608"/>
      <c r="C65" s="383"/>
      <c r="D65" s="383"/>
      <c r="E65" s="383"/>
      <c r="F65" s="383"/>
      <c r="G65" s="517"/>
      <c r="H65" s="560"/>
      <c r="I65" s="601"/>
      <c r="J65" s="600"/>
      <c r="K65" s="566"/>
      <c r="L65" s="384"/>
      <c r="M65" s="385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414"/>
      <c r="AC65" s="414"/>
      <c r="AD65" s="414"/>
      <c r="AE65" s="414"/>
      <c r="AF65" s="414"/>
    </row>
    <row r="66" spans="1:32" ht="24" customHeight="1">
      <c r="A66" s="415"/>
      <c r="B66" s="416">
        <f>SUM(B6:B65)</f>
        <v>78.190000000000012</v>
      </c>
      <c r="C66" s="417"/>
      <c r="D66" s="417"/>
      <c r="E66" s="417"/>
      <c r="F66" s="417"/>
      <c r="G66" s="418"/>
      <c r="H66" s="417"/>
      <c r="I66" s="417"/>
      <c r="J66" s="417"/>
      <c r="K66" s="417"/>
      <c r="L66" s="419" t="s">
        <v>140</v>
      </c>
      <c r="M66" s="420">
        <f>SUM(M6:M65)</f>
        <v>3.5601000000000003</v>
      </c>
      <c r="O66" s="414"/>
      <c r="P66" s="414"/>
      <c r="Q66" s="414"/>
      <c r="R66" s="414"/>
      <c r="S66" s="414"/>
      <c r="T66" s="414"/>
      <c r="U66" s="414"/>
      <c r="V66" s="414"/>
      <c r="W66" s="414"/>
      <c r="X66" s="414"/>
      <c r="Y66" s="414"/>
      <c r="Z66" s="414"/>
      <c r="AA66" s="414"/>
      <c r="AB66" s="414"/>
      <c r="AC66" s="414"/>
      <c r="AD66" s="414"/>
      <c r="AE66" s="414"/>
      <c r="AF66" s="414"/>
    </row>
    <row r="67" spans="1:32" ht="24" customHeight="1">
      <c r="O67" s="414"/>
      <c r="P67" s="414"/>
      <c r="Q67" s="414"/>
      <c r="R67" s="414"/>
      <c r="S67" s="414"/>
      <c r="T67" s="414"/>
      <c r="U67" s="414"/>
      <c r="V67" s="422"/>
      <c r="W67" s="414"/>
      <c r="X67" s="414"/>
      <c r="Y67" s="414"/>
      <c r="Z67" s="414"/>
      <c r="AA67" s="414"/>
      <c r="AB67" s="414"/>
      <c r="AC67" s="414"/>
      <c r="AD67" s="414"/>
      <c r="AE67" s="414"/>
      <c r="AF67" s="414"/>
    </row>
    <row r="68" spans="1:32" ht="24" customHeight="1">
      <c r="A68" s="423"/>
    </row>
    <row r="69" spans="1:32" ht="24" customHeight="1"/>
    <row r="70" spans="1:32" ht="24" customHeight="1"/>
    <row r="71" spans="1:32" ht="24" customHeight="1"/>
    <row r="72" spans="1:32" ht="24" customHeight="1"/>
    <row r="73" spans="1:32" ht="24" customHeight="1"/>
    <row r="74" spans="1:32" ht="24" customHeight="1"/>
    <row r="75" spans="1:32" ht="24" customHeight="1"/>
  </sheetData>
  <mergeCells count="38">
    <mergeCell ref="H52:K52"/>
    <mergeCell ref="H55:K55"/>
    <mergeCell ref="H60:K60"/>
    <mergeCell ref="H61:K61"/>
    <mergeCell ref="H62:K62"/>
    <mergeCell ref="AI21:AJ21"/>
    <mergeCell ref="H22:K22"/>
    <mergeCell ref="H23:K23"/>
    <mergeCell ref="H24:K24"/>
    <mergeCell ref="H51:K51"/>
    <mergeCell ref="H29:K29"/>
    <mergeCell ref="H30:K30"/>
    <mergeCell ref="H32:K32"/>
    <mergeCell ref="H33:K33"/>
    <mergeCell ref="H34:K34"/>
    <mergeCell ref="H39:K39"/>
    <mergeCell ref="H40:K40"/>
    <mergeCell ref="H41:K41"/>
    <mergeCell ref="H46:K46"/>
    <mergeCell ref="H47:K47"/>
    <mergeCell ref="H50:K50"/>
    <mergeCell ref="H28:K28"/>
    <mergeCell ref="H14:K14"/>
    <mergeCell ref="H17:K17"/>
    <mergeCell ref="H18:K18"/>
    <mergeCell ref="H19:K19"/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1:K11"/>
    <mergeCell ref="H12:K12"/>
  </mergeCells>
  <printOptions horizontalCentered="1"/>
  <pageMargins left="0.19685039370078741" right="0.19685039370078741" top="0.55118110236220474" bottom="0.27559055118110237" header="0.19685039370078741" footer="0.47244094488188981"/>
  <pageSetup paperSize="9" scale="68" orientation="landscape" r:id="rId1"/>
  <headerFooter scaleWithDoc="0">
    <oddHeader>&amp;R&amp;"TH SarabunPSK,Regular"&amp;16&amp;P</oddHeader>
  </headerFooter>
  <rowBreaks count="2" manualBreakCount="2">
    <brk id="21" max="16383" man="1"/>
    <brk id="45" max="16383" man="1"/>
  </rowBreaks>
  <colBreaks count="1" manualBreakCount="1">
    <brk id="13" max="1048575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N86"/>
  <sheetViews>
    <sheetView view="pageBreakPreview" zoomScaleNormal="90" zoomScaleSheetLayoutView="100" zoomScalePageLayoutView="50" workbookViewId="0">
      <selection activeCell="H14" sqref="H14:K14"/>
    </sheetView>
  </sheetViews>
  <sheetFormatPr defaultColWidth="9.140625" defaultRowHeight="21"/>
  <cols>
    <col min="1" max="1" width="38" style="368" customWidth="1"/>
    <col min="2" max="2" width="11.5703125" style="368" customWidth="1"/>
    <col min="3" max="3" width="9.85546875" style="368" customWidth="1"/>
    <col min="4" max="7" width="9.28515625" style="368" customWidth="1"/>
    <col min="8" max="8" width="9.85546875" style="368" customWidth="1"/>
    <col min="9" max="9" width="16.140625" style="368" customWidth="1"/>
    <col min="10" max="10" width="16.5703125" style="368" customWidth="1"/>
    <col min="11" max="11" width="33.7109375" style="368" customWidth="1"/>
    <col min="12" max="12" width="11.140625" style="421" customWidth="1"/>
    <col min="13" max="13" width="11.140625" style="368" customWidth="1"/>
    <col min="14" max="16" width="9.140625" style="368"/>
    <col min="17" max="17" width="12.42578125" style="368" bestFit="1" customWidth="1"/>
    <col min="18" max="20" width="11.5703125" style="368" bestFit="1" customWidth="1"/>
    <col min="21" max="21" width="9.140625" style="368"/>
    <col min="22" max="30" width="11.5703125" style="368" bestFit="1" customWidth="1"/>
    <col min="31" max="31" width="17.7109375" style="368" customWidth="1"/>
    <col min="32" max="32" width="9.28515625" style="368" bestFit="1" customWidth="1"/>
    <col min="33" max="33" width="11.28515625" style="368" bestFit="1" customWidth="1"/>
    <col min="34" max="35" width="9.140625" style="368"/>
    <col min="36" max="36" width="86.140625" style="368" bestFit="1" customWidth="1"/>
    <col min="37" max="37" width="19.28515625" style="368" bestFit="1" customWidth="1"/>
    <col min="38" max="38" width="15" style="368" bestFit="1" customWidth="1"/>
    <col min="39" max="39" width="10.42578125" style="368" bestFit="1" customWidth="1"/>
    <col min="40" max="16384" width="9.140625" style="368"/>
  </cols>
  <sheetData>
    <row r="1" spans="1:40" ht="24" customHeight="1">
      <c r="A1" s="752" t="s">
        <v>0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2" spans="1:40" ht="24" customHeight="1">
      <c r="A2" s="752" t="s">
        <v>331</v>
      </c>
      <c r="B2" s="753"/>
      <c r="C2" s="753"/>
      <c r="D2" s="753"/>
      <c r="E2" s="753"/>
      <c r="F2" s="753"/>
      <c r="G2" s="753"/>
      <c r="H2" s="753"/>
      <c r="I2" s="753"/>
      <c r="J2" s="753"/>
      <c r="K2" s="753"/>
      <c r="L2" s="753"/>
      <c r="M2" s="753"/>
    </row>
    <row r="3" spans="1:40" ht="24" customHeight="1">
      <c r="A3" s="369" t="s">
        <v>373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72" t="s">
        <v>237</v>
      </c>
    </row>
    <row r="4" spans="1:40" s="375" customFormat="1" ht="24" customHeight="1">
      <c r="A4" s="373" t="s">
        <v>1</v>
      </c>
      <c r="B4" s="373" t="s">
        <v>2</v>
      </c>
      <c r="C4" s="754" t="s">
        <v>3</v>
      </c>
      <c r="D4" s="754"/>
      <c r="E4" s="754"/>
      <c r="F4" s="754"/>
      <c r="G4" s="754"/>
      <c r="H4" s="755" t="s">
        <v>4</v>
      </c>
      <c r="I4" s="756"/>
      <c r="J4" s="756"/>
      <c r="K4" s="757"/>
      <c r="L4" s="776" t="s">
        <v>5</v>
      </c>
      <c r="M4" s="374" t="s">
        <v>6</v>
      </c>
    </row>
    <row r="5" spans="1:40" s="375" customFormat="1" ht="24" customHeight="1">
      <c r="A5" s="376" t="s">
        <v>7</v>
      </c>
      <c r="B5" s="376" t="s">
        <v>8</v>
      </c>
      <c r="C5" s="377">
        <v>1</v>
      </c>
      <c r="D5" s="377">
        <v>2</v>
      </c>
      <c r="E5" s="377">
        <v>3</v>
      </c>
      <c r="F5" s="377">
        <v>4</v>
      </c>
      <c r="G5" s="377">
        <v>5</v>
      </c>
      <c r="H5" s="758"/>
      <c r="I5" s="759"/>
      <c r="J5" s="759"/>
      <c r="K5" s="760"/>
      <c r="L5" s="776"/>
      <c r="M5" s="378" t="s">
        <v>9</v>
      </c>
    </row>
    <row r="6" spans="1:40" ht="24" customHeight="1">
      <c r="A6" s="379" t="s">
        <v>157</v>
      </c>
      <c r="B6" s="302">
        <v>16.36</v>
      </c>
      <c r="C6" s="521">
        <v>20026</v>
      </c>
      <c r="D6" s="522">
        <v>20495</v>
      </c>
      <c r="E6" s="522">
        <v>20964</v>
      </c>
      <c r="F6" s="522">
        <v>21434</v>
      </c>
      <c r="G6" s="522">
        <v>21903</v>
      </c>
      <c r="H6" s="782" t="s">
        <v>14</v>
      </c>
      <c r="I6" s="783"/>
      <c r="J6" s="784" t="s">
        <v>15</v>
      </c>
      <c r="K6" s="784"/>
      <c r="L6" s="303">
        <v>1</v>
      </c>
      <c r="M6" s="380">
        <f>IF(L6=0,"-",ROUND(L6*B6/B$77,4))</f>
        <v>0.1636</v>
      </c>
    </row>
    <row r="7" spans="1:40" ht="24" customHeight="1">
      <c r="A7" s="381" t="s">
        <v>158</v>
      </c>
      <c r="B7" s="515"/>
      <c r="C7" s="523" t="s">
        <v>38</v>
      </c>
      <c r="D7" s="523" t="s">
        <v>38</v>
      </c>
      <c r="E7" s="523" t="s">
        <v>39</v>
      </c>
      <c r="F7" s="523" t="s">
        <v>38</v>
      </c>
      <c r="G7" s="523" t="s">
        <v>38</v>
      </c>
      <c r="H7" s="782"/>
      <c r="I7" s="783"/>
      <c r="J7" s="568" t="s">
        <v>17</v>
      </c>
      <c r="K7" s="525" t="s">
        <v>18</v>
      </c>
      <c r="L7" s="384"/>
      <c r="M7" s="385"/>
    </row>
    <row r="8" spans="1:40" ht="24" customHeight="1">
      <c r="A8" s="381"/>
      <c r="B8" s="515"/>
      <c r="C8" s="526"/>
      <c r="D8" s="526"/>
      <c r="E8" s="526"/>
      <c r="F8" s="526"/>
      <c r="G8" s="526"/>
      <c r="H8" s="563" t="s">
        <v>19</v>
      </c>
      <c r="I8" s="564"/>
      <c r="J8" s="527">
        <v>24200</v>
      </c>
      <c r="K8" s="528">
        <v>16000</v>
      </c>
      <c r="L8" s="518"/>
      <c r="M8" s="385"/>
    </row>
    <row r="9" spans="1:40" ht="24" customHeight="1">
      <c r="A9" s="381"/>
      <c r="B9" s="382"/>
      <c r="C9" s="529"/>
      <c r="D9" s="383"/>
      <c r="E9" s="383"/>
      <c r="F9" s="383"/>
      <c r="G9" s="383"/>
      <c r="H9" s="762" t="s">
        <v>141</v>
      </c>
      <c r="I9" s="764"/>
      <c r="J9" s="461"/>
      <c r="K9" s="530"/>
      <c r="L9" s="384"/>
      <c r="M9" s="385"/>
      <c r="O9" s="445"/>
      <c r="P9" s="403"/>
    </row>
    <row r="10" spans="1:40" ht="24" customHeight="1" thickBot="1">
      <c r="A10" s="381"/>
      <c r="B10" s="382"/>
      <c r="C10" s="383"/>
      <c r="D10" s="383"/>
      <c r="E10" s="383"/>
      <c r="F10" s="383"/>
      <c r="G10" s="383"/>
      <c r="H10" s="785" t="s">
        <v>20</v>
      </c>
      <c r="I10" s="785"/>
      <c r="J10" s="465">
        <f>SUM(J8:J9)</f>
        <v>24200</v>
      </c>
      <c r="K10" s="466">
        <f>K8</f>
        <v>16000</v>
      </c>
      <c r="L10" s="384"/>
      <c r="M10" s="385"/>
    </row>
    <row r="11" spans="1:40" ht="24" customHeight="1" thickTop="1">
      <c r="A11" s="381"/>
      <c r="B11" s="382"/>
      <c r="C11" s="383"/>
      <c r="D11" s="383"/>
      <c r="E11" s="383"/>
      <c r="F11" s="383"/>
      <c r="G11" s="383"/>
      <c r="H11" s="515"/>
      <c r="I11" s="501"/>
      <c r="J11" s="468"/>
      <c r="K11" s="469"/>
      <c r="L11" s="384"/>
      <c r="M11" s="385"/>
    </row>
    <row r="12" spans="1:40" ht="24" customHeight="1">
      <c r="A12" s="379" t="s">
        <v>159</v>
      </c>
      <c r="B12" s="302">
        <v>5.45</v>
      </c>
      <c r="C12" s="506">
        <v>0.65</v>
      </c>
      <c r="D12" s="506">
        <v>0.7</v>
      </c>
      <c r="E12" s="506">
        <v>0.75</v>
      </c>
      <c r="F12" s="506">
        <v>0.8</v>
      </c>
      <c r="G12" s="506">
        <v>0.85</v>
      </c>
      <c r="H12" s="738" t="s">
        <v>203</v>
      </c>
      <c r="I12" s="739"/>
      <c r="J12" s="739"/>
      <c r="K12" s="740"/>
      <c r="L12" s="303">
        <v>4.8520000000000003</v>
      </c>
      <c r="M12" s="380">
        <f>IF(L12=0,"-",ROUND(L12*B12/B$77,4))</f>
        <v>0.26440000000000002</v>
      </c>
    </row>
    <row r="13" spans="1:40" ht="24" customHeight="1">
      <c r="A13" s="381" t="s">
        <v>144</v>
      </c>
      <c r="B13" s="382"/>
      <c r="C13" s="383"/>
      <c r="D13" s="383"/>
      <c r="E13" s="383"/>
      <c r="F13" s="383"/>
      <c r="G13" s="383"/>
      <c r="H13" s="762" t="s">
        <v>365</v>
      </c>
      <c r="I13" s="763"/>
      <c r="J13" s="763"/>
      <c r="K13" s="764"/>
      <c r="L13" s="384"/>
      <c r="M13" s="385"/>
      <c r="N13" s="375" t="s">
        <v>238</v>
      </c>
      <c r="O13" s="386" t="s">
        <v>164</v>
      </c>
      <c r="P13" s="375" t="s">
        <v>165</v>
      </c>
      <c r="Q13" s="375" t="s">
        <v>166</v>
      </c>
      <c r="R13" s="386" t="s">
        <v>167</v>
      </c>
      <c r="S13" s="386" t="s">
        <v>168</v>
      </c>
      <c r="T13" s="386" t="s">
        <v>169</v>
      </c>
      <c r="U13" s="386" t="s">
        <v>170</v>
      </c>
      <c r="V13" s="386" t="s">
        <v>171</v>
      </c>
      <c r="W13" s="375" t="s">
        <v>172</v>
      </c>
      <c r="X13" s="386" t="s">
        <v>173</v>
      </c>
      <c r="Y13" s="386" t="s">
        <v>174</v>
      </c>
      <c r="Z13" s="375" t="s">
        <v>175</v>
      </c>
      <c r="AA13" s="386" t="s">
        <v>176</v>
      </c>
      <c r="AB13" s="386" t="s">
        <v>178</v>
      </c>
      <c r="AC13" s="375" t="s">
        <v>192</v>
      </c>
      <c r="AD13" s="375" t="s">
        <v>239</v>
      </c>
      <c r="AE13" s="375" t="s">
        <v>240</v>
      </c>
    </row>
    <row r="14" spans="1:40" ht="24" customHeight="1">
      <c r="A14" s="381"/>
      <c r="B14" s="382"/>
      <c r="C14" s="383"/>
      <c r="D14" s="383"/>
      <c r="E14" s="383"/>
      <c r="F14" s="383"/>
      <c r="G14" s="383"/>
      <c r="H14" s="762" t="s">
        <v>204</v>
      </c>
      <c r="I14" s="763"/>
      <c r="J14" s="763"/>
      <c r="K14" s="764"/>
      <c r="L14" s="384"/>
      <c r="M14" s="385"/>
      <c r="AI14" s="407" t="s">
        <v>241</v>
      </c>
      <c r="AJ14" s="388" t="s">
        <v>14</v>
      </c>
      <c r="AK14" s="389" t="s">
        <v>242</v>
      </c>
      <c r="AL14" s="390" t="s">
        <v>243</v>
      </c>
      <c r="AM14" s="391"/>
      <c r="AN14" s="391" t="s">
        <v>244</v>
      </c>
    </row>
    <row r="15" spans="1:40" ht="24" customHeight="1">
      <c r="A15" s="381"/>
      <c r="B15" s="382"/>
      <c r="C15" s="383"/>
      <c r="D15" s="383"/>
      <c r="E15" s="383"/>
      <c r="F15" s="383"/>
      <c r="G15" s="383"/>
      <c r="H15" s="762" t="s">
        <v>205</v>
      </c>
      <c r="I15" s="763"/>
      <c r="J15" s="763"/>
      <c r="K15" s="764"/>
      <c r="L15" s="384"/>
      <c r="M15" s="385"/>
      <c r="N15" s="392">
        <f>SUM(O15:AB15)</f>
        <v>2754.9592476500002</v>
      </c>
      <c r="O15" s="393">
        <v>63.05</v>
      </c>
      <c r="P15" s="393">
        <v>363.36509999999998</v>
      </c>
      <c r="Q15" s="393">
        <v>157.61449099999999</v>
      </c>
      <c r="R15" s="393">
        <v>122.296868</v>
      </c>
      <c r="S15" s="393"/>
      <c r="T15" s="393">
        <v>687.09411299999999</v>
      </c>
      <c r="U15" s="394">
        <v>432.493359</v>
      </c>
      <c r="V15" s="393"/>
      <c r="W15" s="393">
        <v>567.82270000000005</v>
      </c>
      <c r="X15" s="393">
        <v>128.228759</v>
      </c>
      <c r="Y15" s="393">
        <v>39.988</v>
      </c>
      <c r="AA15" s="326">
        <v>103.4341</v>
      </c>
      <c r="AB15" s="393">
        <v>89.571757649999995</v>
      </c>
      <c r="AC15" s="368">
        <f>SUM(O15:AB15)</f>
        <v>2754.9592476500002</v>
      </c>
      <c r="AE15" s="368">
        <f>AC15</f>
        <v>2754.9592476500002</v>
      </c>
      <c r="AI15" s="395">
        <v>1</v>
      </c>
      <c r="AJ15" s="396" t="s">
        <v>245</v>
      </c>
      <c r="AK15" s="397">
        <v>172677500</v>
      </c>
      <c r="AL15" s="398">
        <v>13.36</v>
      </c>
      <c r="AM15" s="399" t="e">
        <f t="shared" ref="AM15:AM31" si="0">AL15*AK15/$C$19</f>
        <v>#DIV/0!</v>
      </c>
      <c r="AN15" s="399">
        <f>AL15*AK15/AK15</f>
        <v>13.36</v>
      </c>
    </row>
    <row r="16" spans="1:40" ht="24" customHeight="1">
      <c r="A16" s="381"/>
      <c r="B16" s="382"/>
      <c r="C16" s="383"/>
      <c r="D16" s="383"/>
      <c r="E16" s="383"/>
      <c r="F16" s="383"/>
      <c r="G16" s="383"/>
      <c r="I16" s="400" t="s">
        <v>54</v>
      </c>
      <c r="J16" s="472">
        <v>84.26</v>
      </c>
      <c r="K16" s="562" t="s">
        <v>51</v>
      </c>
      <c r="L16" s="384"/>
      <c r="M16" s="385"/>
      <c r="N16" s="368">
        <f>(O16*O15+P16*P15+Q16*Q15+R16*R15+S16*S15+T16*T15+U16*U15+V16*V15+W16*W15+X16*X15+Y16*Y15+Z16*Z15+AA16*AA15+AB16*AB15)/N15</f>
        <v>84.754654906071266</v>
      </c>
      <c r="O16" s="393">
        <v>100</v>
      </c>
      <c r="P16" s="393">
        <v>63.46</v>
      </c>
      <c r="Q16" s="393">
        <v>51.39</v>
      </c>
      <c r="R16" s="393">
        <v>100</v>
      </c>
      <c r="S16" s="393"/>
      <c r="T16" s="393">
        <v>100</v>
      </c>
      <c r="U16" s="393">
        <v>98.85</v>
      </c>
      <c r="V16" s="393"/>
      <c r="W16" s="401">
        <v>77.599999999999994</v>
      </c>
      <c r="X16" s="393">
        <v>66.87</v>
      </c>
      <c r="Y16" s="393">
        <v>100</v>
      </c>
      <c r="AA16" s="393">
        <v>71.75</v>
      </c>
      <c r="AB16" s="393">
        <v>92.47</v>
      </c>
      <c r="AC16" s="402">
        <f>J16</f>
        <v>84.26</v>
      </c>
      <c r="AE16" s="402">
        <f>J16</f>
        <v>84.26</v>
      </c>
      <c r="AI16" s="395">
        <v>2</v>
      </c>
      <c r="AJ16" s="396" t="s">
        <v>246</v>
      </c>
      <c r="AK16" s="397">
        <v>525283600</v>
      </c>
      <c r="AL16" s="398">
        <v>35.229999999999997</v>
      </c>
      <c r="AM16" s="399" t="e">
        <f t="shared" si="0"/>
        <v>#DIV/0!</v>
      </c>
      <c r="AN16" s="399">
        <f t="shared" ref="AN16:AN29" si="1">(AL16*AK16/AK16)</f>
        <v>35.229999999999997</v>
      </c>
    </row>
    <row r="17" spans="1:40" ht="24" customHeight="1">
      <c r="A17" s="507"/>
      <c r="B17" s="508"/>
      <c r="C17" s="509"/>
      <c r="D17" s="509"/>
      <c r="E17" s="509"/>
      <c r="F17" s="509"/>
      <c r="G17" s="509"/>
      <c r="H17" s="768"/>
      <c r="I17" s="769"/>
      <c r="J17" s="769"/>
      <c r="K17" s="770"/>
      <c r="L17" s="510"/>
      <c r="M17" s="376"/>
      <c r="AE17" s="368" t="s">
        <v>20</v>
      </c>
      <c r="AI17" s="395"/>
      <c r="AJ17" s="396" t="s">
        <v>247</v>
      </c>
      <c r="AK17" s="397">
        <v>63771100</v>
      </c>
      <c r="AL17" s="398">
        <v>0.28000000000000003</v>
      </c>
      <c r="AM17" s="399" t="e">
        <f t="shared" si="0"/>
        <v>#DIV/0!</v>
      </c>
      <c r="AN17" s="399"/>
    </row>
    <row r="18" spans="1:40" ht="24" customHeight="1">
      <c r="A18" s="379" t="s">
        <v>145</v>
      </c>
      <c r="B18" s="302">
        <v>16.36</v>
      </c>
      <c r="C18" s="506">
        <v>0.69</v>
      </c>
      <c r="D18" s="506">
        <v>0.72</v>
      </c>
      <c r="E18" s="506">
        <v>0.75</v>
      </c>
      <c r="F18" s="506">
        <v>0.78</v>
      </c>
      <c r="G18" s="506">
        <v>0.81</v>
      </c>
      <c r="H18" s="739" t="s">
        <v>206</v>
      </c>
      <c r="I18" s="739"/>
      <c r="J18" s="739"/>
      <c r="K18" s="740"/>
      <c r="L18" s="303">
        <v>2.04</v>
      </c>
      <c r="M18" s="380">
        <f>IF(L18=0,"-",ROUND(L18*B18/B$77,4))</f>
        <v>0.3337</v>
      </c>
      <c r="P18" s="368" t="s">
        <v>177</v>
      </c>
      <c r="Q18" s="368">
        <v>88227925</v>
      </c>
      <c r="R18" s="368">
        <v>454314777</v>
      </c>
      <c r="S18" s="368">
        <v>163703662</v>
      </c>
      <c r="T18" s="368">
        <v>340069114</v>
      </c>
      <c r="V18" s="368">
        <v>145609485</v>
      </c>
      <c r="W18" s="368">
        <v>376474997</v>
      </c>
      <c r="X18" s="368">
        <v>154664423</v>
      </c>
      <c r="Y18" s="368">
        <v>364453100</v>
      </c>
      <c r="Z18" s="368">
        <v>301496841</v>
      </c>
      <c r="AA18" s="368">
        <v>117859601</v>
      </c>
      <c r="AB18" s="368">
        <v>103922683</v>
      </c>
      <c r="AC18" s="368">
        <v>110709100</v>
      </c>
      <c r="AD18" s="368">
        <v>396724840</v>
      </c>
      <c r="AE18" s="368">
        <f>Q18+R18+S18+T18+V18+W18+X18+Y18+Z18+AA18+AB18+AC18+AD18</f>
        <v>3118230548</v>
      </c>
      <c r="AI18" s="395"/>
      <c r="AJ18" s="396" t="s">
        <v>248</v>
      </c>
      <c r="AK18" s="397">
        <v>85121200</v>
      </c>
      <c r="AL18" s="398">
        <v>2.0499999999999998</v>
      </c>
      <c r="AM18" s="399" t="e">
        <f t="shared" si="0"/>
        <v>#DIV/0!</v>
      </c>
      <c r="AN18" s="399"/>
    </row>
    <row r="19" spans="1:40" ht="24" customHeight="1">
      <c r="A19" s="381" t="s">
        <v>21</v>
      </c>
      <c r="B19" s="382"/>
      <c r="C19" s="383"/>
      <c r="D19" s="383"/>
      <c r="E19" s="383"/>
      <c r="F19" s="383"/>
      <c r="G19" s="383"/>
      <c r="H19" s="762" t="s">
        <v>207</v>
      </c>
      <c r="I19" s="763"/>
      <c r="J19" s="763"/>
      <c r="K19" s="764"/>
      <c r="L19" s="384"/>
      <c r="M19" s="385"/>
      <c r="P19" s="368" t="s">
        <v>179</v>
      </c>
      <c r="Q19" s="368">
        <v>62767727</v>
      </c>
      <c r="R19" s="368">
        <v>213672936</v>
      </c>
      <c r="S19" s="368">
        <v>25795924</v>
      </c>
      <c r="T19" s="368">
        <v>114556854</v>
      </c>
      <c r="V19" s="368">
        <v>128932639</v>
      </c>
      <c r="W19" s="368">
        <v>336587666</v>
      </c>
      <c r="X19" s="368">
        <v>52373847</v>
      </c>
      <c r="Y19" s="368">
        <v>90762837</v>
      </c>
      <c r="Z19" s="368">
        <v>241819557</v>
      </c>
      <c r="AA19" s="368">
        <v>53872593</v>
      </c>
      <c r="AB19" s="368">
        <v>20156387</v>
      </c>
      <c r="AC19" s="368">
        <v>73919342</v>
      </c>
      <c r="AD19" s="368">
        <v>64957443</v>
      </c>
      <c r="AE19" s="403">
        <f>Q19+R19+S19+T19+V19+W19+X19+Y19+Z19+AA19+AB19+AC19+AD19</f>
        <v>1480175752</v>
      </c>
      <c r="AI19" s="395"/>
      <c r="AJ19" s="396" t="s">
        <v>249</v>
      </c>
      <c r="AK19" s="397">
        <v>115875000</v>
      </c>
      <c r="AL19" s="398">
        <v>0</v>
      </c>
      <c r="AM19" s="399" t="e">
        <f t="shared" si="0"/>
        <v>#DIV/0!</v>
      </c>
      <c r="AN19" s="399"/>
    </row>
    <row r="20" spans="1:40" ht="24" customHeight="1">
      <c r="A20" s="381"/>
      <c r="B20" s="382"/>
      <c r="C20" s="383"/>
      <c r="D20" s="383"/>
      <c r="E20" s="383"/>
      <c r="F20" s="383"/>
      <c r="G20" s="383"/>
      <c r="H20" s="762" t="s">
        <v>299</v>
      </c>
      <c r="I20" s="763"/>
      <c r="J20" s="763"/>
      <c r="K20" s="764"/>
      <c r="L20" s="384"/>
      <c r="M20" s="385"/>
      <c r="P20" s="368" t="s">
        <v>194</v>
      </c>
      <c r="Q20" s="368">
        <v>19.71</v>
      </c>
      <c r="R20" s="368">
        <v>38.619999999999997</v>
      </c>
      <c r="S20" s="368">
        <v>5.8</v>
      </c>
      <c r="T20" s="368">
        <v>21.95</v>
      </c>
      <c r="AE20" s="404">
        <f>(AE19/AE18)*100</f>
        <v>47.468451393030229</v>
      </c>
      <c r="AI20" s="395">
        <v>4</v>
      </c>
      <c r="AJ20" s="396" t="s">
        <v>250</v>
      </c>
      <c r="AK20" s="397">
        <v>1039701600</v>
      </c>
      <c r="AL20" s="398">
        <v>5.62</v>
      </c>
      <c r="AM20" s="399" t="e">
        <f t="shared" si="0"/>
        <v>#DIV/0!</v>
      </c>
      <c r="AN20" s="399">
        <f t="shared" si="1"/>
        <v>5.62</v>
      </c>
    </row>
    <row r="21" spans="1:40" ht="24" customHeight="1">
      <c r="A21" s="381"/>
      <c r="B21" s="382"/>
      <c r="C21" s="383"/>
      <c r="D21" s="383"/>
      <c r="E21" s="383"/>
      <c r="F21" s="383"/>
      <c r="G21" s="383"/>
      <c r="H21" s="565"/>
      <c r="I21" s="400" t="s">
        <v>199</v>
      </c>
      <c r="J21" s="472">
        <v>72.12</v>
      </c>
      <c r="K21" s="562" t="s">
        <v>51</v>
      </c>
      <c r="L21" s="384"/>
      <c r="M21" s="385"/>
      <c r="Q21" s="368">
        <f>(Q18*Q20)/AE18</f>
        <v>0.55767922704283635</v>
      </c>
      <c r="R21" s="368">
        <f>(R18*R20)/AE18</f>
        <v>5.6267926369310901</v>
      </c>
      <c r="S21" s="368">
        <f>(S18*S20)/AE18</f>
        <v>0.3044935982071586</v>
      </c>
      <c r="T21" s="368">
        <f>(T18*T20)/AE18</f>
        <v>2.3938310325026038</v>
      </c>
      <c r="V21" s="368">
        <f>(V18*V20)/AE18</f>
        <v>0</v>
      </c>
      <c r="W21" s="368">
        <f>(W18*W20)/AE18</f>
        <v>0</v>
      </c>
      <c r="X21" s="368">
        <f>(X18*X20)/AE18</f>
        <v>0</v>
      </c>
      <c r="Y21" s="368">
        <f>(Y18*Y20)/AE18</f>
        <v>0</v>
      </c>
      <c r="Z21" s="368">
        <f>(Z18*Z20)/AE18</f>
        <v>0</v>
      </c>
      <c r="AA21" s="368">
        <f>(AA18*AA20)/AE18</f>
        <v>0</v>
      </c>
      <c r="AB21" s="368">
        <f>(AB18*AB20)/AE18</f>
        <v>0</v>
      </c>
      <c r="AC21" s="368">
        <f>(AC18*AC20)/AE18</f>
        <v>0</v>
      </c>
      <c r="AD21" s="368">
        <f>(AD18*AD20)/AE18</f>
        <v>0</v>
      </c>
      <c r="AE21" s="368">
        <f>(Q21+R21+S21+T21+V21+W21+X21+Y21+Z21+AA21+AB21+AC21+AD21)/AE18</f>
        <v>2.8486657281903096E-9</v>
      </c>
      <c r="AI21" s="395">
        <v>5</v>
      </c>
      <c r="AJ21" s="396" t="s">
        <v>251</v>
      </c>
      <c r="AK21" s="397">
        <v>636679600</v>
      </c>
      <c r="AL21" s="398">
        <v>13.07</v>
      </c>
      <c r="AM21" s="399" t="e">
        <f t="shared" si="0"/>
        <v>#DIV/0!</v>
      </c>
      <c r="AN21" s="399">
        <f t="shared" si="1"/>
        <v>13.07</v>
      </c>
    </row>
    <row r="22" spans="1:40" ht="24" customHeight="1">
      <c r="A22" s="507"/>
      <c r="B22" s="508"/>
      <c r="C22" s="509"/>
      <c r="D22" s="509"/>
      <c r="E22" s="509"/>
      <c r="F22" s="509"/>
      <c r="G22" s="509"/>
      <c r="H22" s="511"/>
      <c r="I22" s="512"/>
      <c r="J22" s="513"/>
      <c r="K22" s="514"/>
      <c r="L22" s="510"/>
      <c r="M22" s="376"/>
      <c r="S22" s="368">
        <v>278676</v>
      </c>
      <c r="AI22" s="395">
        <v>8</v>
      </c>
      <c r="AJ22" s="396" t="s">
        <v>252</v>
      </c>
      <c r="AK22" s="397">
        <v>168866326</v>
      </c>
      <c r="AL22" s="398">
        <v>25.53</v>
      </c>
      <c r="AM22" s="399" t="e">
        <f t="shared" si="0"/>
        <v>#DIV/0!</v>
      </c>
      <c r="AN22" s="399">
        <f t="shared" si="1"/>
        <v>25.529999999999998</v>
      </c>
    </row>
    <row r="23" spans="1:40" ht="24" customHeight="1">
      <c r="A23" s="379" t="s">
        <v>146</v>
      </c>
      <c r="B23" s="302">
        <v>5.45</v>
      </c>
      <c r="C23" s="405">
        <v>0.92</v>
      </c>
      <c r="D23" s="405">
        <v>0.94</v>
      </c>
      <c r="E23" s="405">
        <v>0.96</v>
      </c>
      <c r="F23" s="405">
        <v>0.98</v>
      </c>
      <c r="G23" s="405">
        <v>1</v>
      </c>
      <c r="H23" s="738" t="s">
        <v>312</v>
      </c>
      <c r="I23" s="739"/>
      <c r="J23" s="739"/>
      <c r="K23" s="740"/>
      <c r="L23" s="303">
        <v>3.24</v>
      </c>
      <c r="M23" s="380">
        <f>IF(L23=0,"-",ROUND(L23*B23/B$77,4))</f>
        <v>0.17660000000000001</v>
      </c>
      <c r="S23" s="368">
        <v>6516821</v>
      </c>
      <c r="AI23" s="395">
        <v>9</v>
      </c>
      <c r="AJ23" s="396" t="s">
        <v>253</v>
      </c>
      <c r="AK23" s="397">
        <v>189999700</v>
      </c>
      <c r="AL23" s="398">
        <v>3.53</v>
      </c>
      <c r="AM23" s="399" t="e">
        <f t="shared" si="0"/>
        <v>#DIV/0!</v>
      </c>
      <c r="AN23" s="399">
        <f>(AL23*AK23/(AK23+AK24+AK25))+(AL24*AK24/(AK23+AK24+AK25))+(AL25*AK25/(AK23+AK24+AK25))</f>
        <v>17.929695702793666</v>
      </c>
    </row>
    <row r="24" spans="1:40" ht="24" customHeight="1">
      <c r="A24" s="381" t="s">
        <v>23</v>
      </c>
      <c r="B24" s="382"/>
      <c r="C24" s="383"/>
      <c r="D24" s="383"/>
      <c r="E24" s="383"/>
      <c r="F24" s="383"/>
      <c r="G24" s="383"/>
      <c r="H24" s="762" t="s">
        <v>313</v>
      </c>
      <c r="I24" s="763"/>
      <c r="J24" s="763"/>
      <c r="K24" s="764"/>
      <c r="L24" s="384"/>
      <c r="M24" s="385"/>
      <c r="S24" s="368">
        <v>59800</v>
      </c>
      <c r="AI24" s="395"/>
      <c r="AJ24" s="396" t="s">
        <v>254</v>
      </c>
      <c r="AK24" s="397">
        <v>93741300</v>
      </c>
      <c r="AL24" s="398">
        <v>63.29</v>
      </c>
      <c r="AM24" s="399" t="e">
        <f t="shared" si="0"/>
        <v>#DIV/0!</v>
      </c>
      <c r="AN24" s="399"/>
    </row>
    <row r="25" spans="1:40" ht="24" customHeight="1">
      <c r="A25" s="381" t="s">
        <v>24</v>
      </c>
      <c r="B25" s="382"/>
      <c r="C25" s="383"/>
      <c r="D25" s="383"/>
      <c r="E25" s="383"/>
      <c r="F25" s="383"/>
      <c r="G25" s="383"/>
      <c r="H25" s="762" t="s">
        <v>272</v>
      </c>
      <c r="I25" s="763"/>
      <c r="J25" s="763"/>
      <c r="K25" s="764"/>
      <c r="L25" s="384"/>
      <c r="M25" s="385"/>
      <c r="S25" s="368">
        <v>709266</v>
      </c>
      <c r="AI25" s="395"/>
      <c r="AJ25" s="396" t="s">
        <v>255</v>
      </c>
      <c r="AK25" s="397">
        <v>84563400</v>
      </c>
      <c r="AL25" s="398">
        <v>0</v>
      </c>
      <c r="AM25" s="399" t="e">
        <f t="shared" si="0"/>
        <v>#DIV/0!</v>
      </c>
      <c r="AN25" s="399"/>
    </row>
    <row r="26" spans="1:40" ht="24" customHeight="1">
      <c r="A26" s="381"/>
      <c r="B26" s="382"/>
      <c r="C26" s="383"/>
      <c r="D26" s="383"/>
      <c r="E26" s="383"/>
      <c r="F26" s="383"/>
      <c r="G26" s="383"/>
      <c r="H26" s="565" t="s">
        <v>200</v>
      </c>
      <c r="I26" s="400" t="s">
        <v>56</v>
      </c>
      <c r="J26" s="472">
        <v>96.48</v>
      </c>
      <c r="K26" s="562" t="s">
        <v>51</v>
      </c>
      <c r="L26" s="384"/>
      <c r="M26" s="385"/>
      <c r="S26" s="368">
        <v>10951834</v>
      </c>
      <c r="W26" s="368">
        <v>304044</v>
      </c>
      <c r="X26" s="368">
        <v>12443540</v>
      </c>
      <c r="Z26" s="368">
        <v>12690293</v>
      </c>
      <c r="AD26" s="368">
        <v>16191016</v>
      </c>
      <c r="AI26" s="395">
        <v>10</v>
      </c>
      <c r="AJ26" s="396" t="s">
        <v>256</v>
      </c>
      <c r="AK26" s="397">
        <v>305794900</v>
      </c>
      <c r="AL26" s="398">
        <v>18.23</v>
      </c>
      <c r="AM26" s="399" t="e">
        <f t="shared" si="0"/>
        <v>#DIV/0!</v>
      </c>
      <c r="AN26" s="399">
        <f>(AL26*AK26/AK26)</f>
        <v>18.23</v>
      </c>
    </row>
    <row r="27" spans="1:40" ht="24" customHeight="1">
      <c r="A27" s="381"/>
      <c r="B27" s="382"/>
      <c r="C27" s="383"/>
      <c r="D27" s="383"/>
      <c r="E27" s="383"/>
      <c r="F27" s="383"/>
      <c r="G27" s="383"/>
      <c r="H27" s="424"/>
      <c r="I27" s="425"/>
      <c r="J27" s="425"/>
      <c r="K27" s="426"/>
      <c r="L27" s="384"/>
      <c r="M27" s="385"/>
      <c r="AI27" s="395"/>
      <c r="AJ27" s="396" t="s">
        <v>257</v>
      </c>
      <c r="AK27" s="397">
        <v>391412000</v>
      </c>
      <c r="AL27" s="398">
        <v>0</v>
      </c>
      <c r="AM27" s="399" t="e">
        <f t="shared" si="0"/>
        <v>#DIV/0!</v>
      </c>
      <c r="AN27" s="399"/>
    </row>
    <row r="28" spans="1:40" ht="24" customHeight="1">
      <c r="A28" s="379" t="s">
        <v>147</v>
      </c>
      <c r="B28" s="302">
        <v>5.45</v>
      </c>
      <c r="C28" s="405">
        <v>0.96</v>
      </c>
      <c r="D28" s="405">
        <v>0.97</v>
      </c>
      <c r="E28" s="405">
        <v>0.98</v>
      </c>
      <c r="F28" s="405">
        <v>0.99</v>
      </c>
      <c r="G28" s="405">
        <v>1</v>
      </c>
      <c r="H28" s="738" t="s">
        <v>300</v>
      </c>
      <c r="I28" s="739"/>
      <c r="J28" s="739"/>
      <c r="K28" s="740"/>
      <c r="L28" s="303">
        <v>1</v>
      </c>
      <c r="M28" s="380">
        <f>IF(L28=0,"-",ROUND(L28*B28/B$77,4))</f>
        <v>5.45E-2</v>
      </c>
      <c r="Q28" s="368" t="s">
        <v>164</v>
      </c>
      <c r="R28" s="368" t="s">
        <v>165</v>
      </c>
      <c r="S28" s="368" t="s">
        <v>166</v>
      </c>
      <c r="T28" s="368" t="s">
        <v>332</v>
      </c>
      <c r="U28" s="368" t="s">
        <v>168</v>
      </c>
      <c r="V28" s="368" t="s">
        <v>169</v>
      </c>
      <c r="W28" s="368" t="s">
        <v>170</v>
      </c>
      <c r="X28" s="368" t="s">
        <v>171</v>
      </c>
      <c r="Y28" s="368" t="s">
        <v>172</v>
      </c>
      <c r="Z28" s="368" t="s">
        <v>173</v>
      </c>
      <c r="AA28" s="368" t="s">
        <v>174</v>
      </c>
      <c r="AB28" s="368" t="s">
        <v>175</v>
      </c>
      <c r="AC28" s="368" t="s">
        <v>176</v>
      </c>
      <c r="AD28" s="368" t="s">
        <v>178</v>
      </c>
      <c r="AE28" s="368" t="s">
        <v>20</v>
      </c>
      <c r="AI28" s="395"/>
      <c r="AJ28" s="396" t="s">
        <v>258</v>
      </c>
      <c r="AK28" s="397">
        <v>72151000</v>
      </c>
      <c r="AL28" s="398">
        <v>20.47</v>
      </c>
      <c r="AM28" s="399" t="e">
        <f t="shared" si="0"/>
        <v>#DIV/0!</v>
      </c>
      <c r="AN28" s="399"/>
    </row>
    <row r="29" spans="1:40" ht="24" customHeight="1">
      <c r="A29" s="381" t="s">
        <v>26</v>
      </c>
      <c r="B29" s="382"/>
      <c r="C29" s="383"/>
      <c r="D29" s="383"/>
      <c r="E29" s="383"/>
      <c r="F29" s="383"/>
      <c r="G29" s="383"/>
      <c r="H29" s="765" t="s">
        <v>301</v>
      </c>
      <c r="I29" s="766"/>
      <c r="J29" s="766"/>
      <c r="K29" s="767"/>
      <c r="L29" s="384"/>
      <c r="M29" s="385"/>
      <c r="P29" s="368" t="s">
        <v>179</v>
      </c>
      <c r="Q29" s="368">
        <v>0</v>
      </c>
      <c r="R29" s="368" t="e">
        <f>R31+#REF!</f>
        <v>#REF!</v>
      </c>
      <c r="S29" s="368" t="e">
        <f>S31+#REF!+S32+S33+S34+S35+S36+S37</f>
        <v>#REF!</v>
      </c>
      <c r="T29" s="368">
        <v>29142647</v>
      </c>
      <c r="W29" s="368" t="e">
        <f>W31+#REF!</f>
        <v>#REF!</v>
      </c>
      <c r="X29" s="368" t="e">
        <f>X31+#REF!</f>
        <v>#REF!</v>
      </c>
      <c r="Y29" s="368">
        <v>3065219</v>
      </c>
      <c r="Z29" s="368" t="e">
        <f>Z31+#REF!</f>
        <v>#REF!</v>
      </c>
      <c r="AA29" s="368">
        <v>5762411</v>
      </c>
      <c r="AB29" s="368">
        <v>15507983</v>
      </c>
      <c r="AD29" s="368" t="e">
        <f>AD31+#REF!</f>
        <v>#REF!</v>
      </c>
      <c r="AE29" s="368" t="e">
        <f>Q29+R29+S29+T29+W29+X29+Y29+AA29+AB29+AD29</f>
        <v>#REF!</v>
      </c>
      <c r="AF29" s="368" t="e">
        <f>AE29/AE30*100</f>
        <v>#REF!</v>
      </c>
      <c r="AG29" s="368" t="e">
        <f>R29+T29+W29+X29+Y29+Z29+AA29+AB29+AD29</f>
        <v>#REF!</v>
      </c>
      <c r="AH29" s="368" t="e">
        <f>AG29/AG30*100</f>
        <v>#REF!</v>
      </c>
      <c r="AI29" s="395">
        <v>12</v>
      </c>
      <c r="AJ29" s="396" t="s">
        <v>259</v>
      </c>
      <c r="AK29" s="397">
        <v>232129108</v>
      </c>
      <c r="AL29" s="398">
        <v>8.2200000000000006</v>
      </c>
      <c r="AM29" s="399" t="e">
        <f t="shared" si="0"/>
        <v>#DIV/0!</v>
      </c>
      <c r="AN29" s="399">
        <f t="shared" si="1"/>
        <v>8.2200000000000006</v>
      </c>
    </row>
    <row r="30" spans="1:40" ht="24" customHeight="1">
      <c r="A30" s="381"/>
      <c r="B30" s="382"/>
      <c r="C30" s="383"/>
      <c r="D30" s="383"/>
      <c r="E30" s="383"/>
      <c r="F30" s="383"/>
      <c r="G30" s="383"/>
      <c r="H30" s="765" t="s">
        <v>302</v>
      </c>
      <c r="I30" s="766"/>
      <c r="J30" s="766"/>
      <c r="K30" s="767"/>
      <c r="L30" s="384"/>
      <c r="M30" s="385"/>
      <c r="P30" s="368" t="s">
        <v>177</v>
      </c>
      <c r="Q30" s="368">
        <v>0</v>
      </c>
      <c r="R30" s="368" t="e">
        <f>#REF!+R26</f>
        <v>#REF!</v>
      </c>
      <c r="S30" s="368" t="e">
        <f>#REF!+S26+S25+S24+S23+S22+#REF!+#REF!</f>
        <v>#REF!</v>
      </c>
      <c r="T30" s="368">
        <v>32293397</v>
      </c>
      <c r="W30" s="368" t="e">
        <f>#REF!+W26</f>
        <v>#REF!</v>
      </c>
      <c r="X30" s="368" t="e">
        <f>#REF!+X26</f>
        <v>#REF!</v>
      </c>
      <c r="Y30" s="368">
        <v>3065219</v>
      </c>
      <c r="Z30" s="368" t="e">
        <f>#REF!+Z26</f>
        <v>#REF!</v>
      </c>
      <c r="AA30" s="368">
        <v>5836386</v>
      </c>
      <c r="AB30" s="368">
        <v>15507983</v>
      </c>
      <c r="AD30" s="368" t="e">
        <f>#REF!+AD26</f>
        <v>#REF!</v>
      </c>
      <c r="AE30" s="368" t="e">
        <f>Q30+R30+S30+T30+W30+X30+Y30+Z30+AA30+AB30+AD30</f>
        <v>#REF!</v>
      </c>
      <c r="AG30" s="368" t="e">
        <f>R30+T30+W30+X30+Y30+Z30+AA30+AB30</f>
        <v>#REF!</v>
      </c>
      <c r="AI30" s="395">
        <v>13</v>
      </c>
      <c r="AJ30" s="396" t="s">
        <v>260</v>
      </c>
      <c r="AK30" s="397">
        <v>75897000</v>
      </c>
      <c r="AL30" s="398">
        <v>11.23</v>
      </c>
      <c r="AM30" s="399" t="e">
        <f t="shared" si="0"/>
        <v>#DIV/0!</v>
      </c>
      <c r="AN30" s="399" t="e">
        <f>(AL30*AK30/(AK30+AK31+#REF!))+(AL31*AK31/(AK30+AK31+#REF!))+(#REF!*#REF!/(AK30+AK31+#REF!))</f>
        <v>#REF!</v>
      </c>
    </row>
    <row r="31" spans="1:40" ht="24" customHeight="1">
      <c r="A31" s="381"/>
      <c r="B31" s="382"/>
      <c r="C31" s="383"/>
      <c r="D31" s="383"/>
      <c r="E31" s="383"/>
      <c r="F31" s="383"/>
      <c r="G31" s="383"/>
      <c r="H31" s="560"/>
      <c r="I31" s="400" t="s">
        <v>56</v>
      </c>
      <c r="J31" s="472">
        <v>94.69</v>
      </c>
      <c r="K31" s="562" t="s">
        <v>51</v>
      </c>
      <c r="L31" s="384"/>
      <c r="M31" s="385"/>
      <c r="R31" s="368">
        <v>790426</v>
      </c>
      <c r="S31" s="368">
        <v>5889465</v>
      </c>
      <c r="W31" s="368">
        <v>28318909</v>
      </c>
      <c r="X31" s="368">
        <v>45861247</v>
      </c>
      <c r="Z31" s="368">
        <v>117026964</v>
      </c>
      <c r="AD31" s="368">
        <v>7959313</v>
      </c>
      <c r="AI31" s="395"/>
      <c r="AJ31" s="396" t="s">
        <v>261</v>
      </c>
      <c r="AK31" s="397">
        <v>28808000</v>
      </c>
      <c r="AL31" s="398">
        <v>79.489999999999995</v>
      </c>
      <c r="AM31" s="399" t="e">
        <f t="shared" si="0"/>
        <v>#DIV/0!</v>
      </c>
      <c r="AN31" s="399"/>
    </row>
    <row r="32" spans="1:40" ht="24" customHeight="1">
      <c r="A32" s="507"/>
      <c r="B32" s="508"/>
      <c r="C32" s="509"/>
      <c r="D32" s="509"/>
      <c r="E32" s="509"/>
      <c r="F32" s="509"/>
      <c r="G32" s="509"/>
      <c r="H32" s="511"/>
      <c r="I32" s="519"/>
      <c r="J32" s="519"/>
      <c r="K32" s="520"/>
      <c r="L32" s="510"/>
      <c r="M32" s="376"/>
      <c r="S32" s="368">
        <v>673915</v>
      </c>
      <c r="AI32" s="771" t="s">
        <v>20</v>
      </c>
      <c r="AJ32" s="772"/>
      <c r="AK32" s="408">
        <f>SUM(AK15:AK31)</f>
        <v>4282472334</v>
      </c>
      <c r="AL32" s="409" t="e">
        <f>SUM(AM15:AM31)</f>
        <v>#DIV/0!</v>
      </c>
      <c r="AM32" s="399"/>
      <c r="AN32" s="399"/>
    </row>
    <row r="33" spans="1:40" ht="24" customHeight="1">
      <c r="A33" s="379" t="s">
        <v>148</v>
      </c>
      <c r="B33" s="302">
        <v>5.45</v>
      </c>
      <c r="C33" s="405">
        <v>0.96</v>
      </c>
      <c r="D33" s="405">
        <v>0.97</v>
      </c>
      <c r="E33" s="405">
        <v>0.98</v>
      </c>
      <c r="F33" s="405">
        <v>0.99</v>
      </c>
      <c r="G33" s="405">
        <v>1</v>
      </c>
      <c r="H33" s="779" t="s">
        <v>323</v>
      </c>
      <c r="I33" s="780"/>
      <c r="J33" s="780"/>
      <c r="K33" s="781"/>
      <c r="L33" s="303">
        <v>5</v>
      </c>
      <c r="M33" s="380">
        <f>IF(L33=0,"-",ROUND(L33*B33/B$77,4))</f>
        <v>0.27250000000000002</v>
      </c>
      <c r="S33" s="368">
        <v>59800</v>
      </c>
      <c r="AD33" s="368">
        <v>759313</v>
      </c>
      <c r="AI33" s="430"/>
      <c r="AJ33" s="431"/>
      <c r="AK33" s="432"/>
      <c r="AL33" s="433"/>
      <c r="AM33" s="434"/>
      <c r="AN33" s="434"/>
    </row>
    <row r="34" spans="1:40" ht="24" customHeight="1">
      <c r="A34" s="381" t="s">
        <v>28</v>
      </c>
      <c r="B34" s="382"/>
      <c r="C34" s="383"/>
      <c r="D34" s="383"/>
      <c r="E34" s="383"/>
      <c r="F34" s="383"/>
      <c r="G34" s="383"/>
      <c r="H34" s="762" t="s">
        <v>324</v>
      </c>
      <c r="I34" s="763"/>
      <c r="J34" s="763"/>
      <c r="K34" s="764"/>
      <c r="L34" s="384"/>
      <c r="M34" s="385"/>
      <c r="S34" s="368">
        <v>921324</v>
      </c>
      <c r="AI34" s="430"/>
      <c r="AJ34" s="431"/>
      <c r="AK34" s="432"/>
      <c r="AL34" s="433"/>
      <c r="AM34" s="434"/>
      <c r="AN34" s="434"/>
    </row>
    <row r="35" spans="1:40" ht="24" customHeight="1">
      <c r="A35" s="381" t="s">
        <v>60</v>
      </c>
      <c r="B35" s="382"/>
      <c r="C35" s="383"/>
      <c r="D35" s="383"/>
      <c r="E35" s="383"/>
      <c r="F35" s="383"/>
      <c r="G35" s="383"/>
      <c r="H35" s="762" t="s">
        <v>325</v>
      </c>
      <c r="I35" s="763"/>
      <c r="J35" s="763"/>
      <c r="K35" s="764"/>
      <c r="L35" s="384"/>
      <c r="M35" s="385"/>
      <c r="S35" s="368">
        <v>278675</v>
      </c>
      <c r="AD35" s="368" t="e">
        <f>AD33+#REF!</f>
        <v>#REF!</v>
      </c>
      <c r="AI35" s="407" t="s">
        <v>263</v>
      </c>
      <c r="AJ35" s="435" t="s">
        <v>14</v>
      </c>
      <c r="AK35" s="436" t="s">
        <v>264</v>
      </c>
      <c r="AL35" s="437" t="s">
        <v>86</v>
      </c>
      <c r="AM35" s="438"/>
      <c r="AN35" s="438" t="s">
        <v>265</v>
      </c>
    </row>
    <row r="36" spans="1:40" ht="24" customHeight="1">
      <c r="A36" s="381"/>
      <c r="B36" s="382"/>
      <c r="C36" s="383"/>
      <c r="D36" s="383"/>
      <c r="E36" s="383"/>
      <c r="F36" s="383"/>
      <c r="G36" s="383"/>
      <c r="H36" s="565"/>
      <c r="I36" s="400" t="s">
        <v>66</v>
      </c>
      <c r="J36" s="591">
        <v>2</v>
      </c>
      <c r="K36" s="566" t="s">
        <v>61</v>
      </c>
      <c r="L36" s="384"/>
      <c r="M36" s="385"/>
      <c r="S36" s="368">
        <v>250781</v>
      </c>
      <c r="AI36" s="439">
        <v>2</v>
      </c>
      <c r="AJ36" s="440" t="s">
        <v>266</v>
      </c>
      <c r="AK36" s="441">
        <v>300000</v>
      </c>
      <c r="AL36" s="442">
        <v>25981.55</v>
      </c>
      <c r="AM36" s="443"/>
      <c r="AN36" s="443">
        <f>AL36*100/AK36</f>
        <v>8.6605166666666662</v>
      </c>
    </row>
    <row r="37" spans="1:40" ht="24" customHeight="1">
      <c r="A37" s="381"/>
      <c r="B37" s="382"/>
      <c r="C37" s="383"/>
      <c r="D37" s="383"/>
      <c r="E37" s="383"/>
      <c r="F37" s="383"/>
      <c r="G37" s="383"/>
      <c r="H37" s="565"/>
      <c r="I37" s="400" t="s">
        <v>67</v>
      </c>
      <c r="J37" s="591">
        <v>2</v>
      </c>
      <c r="K37" s="566" t="s">
        <v>61</v>
      </c>
      <c r="L37" s="384"/>
      <c r="M37" s="385"/>
      <c r="S37" s="368">
        <v>39205</v>
      </c>
      <c r="AD37" s="368" t="e">
        <f>AD35/AD29*100</f>
        <v>#REF!</v>
      </c>
      <c r="AI37" s="395">
        <v>3</v>
      </c>
      <c r="AJ37" s="396" t="s">
        <v>267</v>
      </c>
      <c r="AK37" s="397">
        <v>300000</v>
      </c>
      <c r="AL37" s="410">
        <v>26160</v>
      </c>
      <c r="AM37" s="411"/>
      <c r="AN37" s="411">
        <f t="shared" ref="AN37:AN50" si="2">AL37*100/AK37</f>
        <v>8.7200000000000006</v>
      </c>
    </row>
    <row r="38" spans="1:40" ht="24" customHeight="1">
      <c r="A38" s="381"/>
      <c r="B38" s="382"/>
      <c r="C38" s="383"/>
      <c r="D38" s="383"/>
      <c r="E38" s="383"/>
      <c r="F38" s="383"/>
      <c r="G38" s="383"/>
      <c r="H38" s="560"/>
      <c r="I38" s="589" t="s">
        <v>81</v>
      </c>
      <c r="J38" s="472">
        <f>J37*100/J36</f>
        <v>100</v>
      </c>
      <c r="K38" s="562" t="s">
        <v>51</v>
      </c>
      <c r="L38" s="384"/>
      <c r="M38" s="385"/>
      <c r="R38" s="368" t="e">
        <f>R29/R30*100</f>
        <v>#REF!</v>
      </c>
      <c r="S38" s="368" t="e">
        <f>S29/S30*100</f>
        <v>#REF!</v>
      </c>
      <c r="T38" s="368">
        <f t="shared" ref="T38:AD38" si="3">T29/T30*100</f>
        <v>90.243361514429708</v>
      </c>
      <c r="W38" s="368" t="e">
        <f t="shared" si="3"/>
        <v>#REF!</v>
      </c>
      <c r="X38" s="368" t="e">
        <f t="shared" si="3"/>
        <v>#REF!</v>
      </c>
      <c r="Y38" s="368">
        <f t="shared" si="3"/>
        <v>100</v>
      </c>
      <c r="Z38" s="368" t="e">
        <f t="shared" si="3"/>
        <v>#REF!</v>
      </c>
      <c r="AA38" s="368">
        <f t="shared" si="3"/>
        <v>98.732520433021392</v>
      </c>
      <c r="AB38" s="368">
        <f>AB29/AB30*100</f>
        <v>100</v>
      </c>
      <c r="AD38" s="368" t="e">
        <f t="shared" si="3"/>
        <v>#REF!</v>
      </c>
      <c r="AI38" s="395">
        <v>4</v>
      </c>
      <c r="AJ38" s="396" t="s">
        <v>268</v>
      </c>
      <c r="AK38" s="397">
        <v>500000</v>
      </c>
      <c r="AL38" s="410">
        <v>166219.85</v>
      </c>
      <c r="AM38" s="411"/>
      <c r="AN38" s="411">
        <f t="shared" si="2"/>
        <v>33.243969999999997</v>
      </c>
    </row>
    <row r="39" spans="1:40" ht="24" customHeight="1">
      <c r="A39" s="507"/>
      <c r="B39" s="508"/>
      <c r="C39" s="509"/>
      <c r="D39" s="509"/>
      <c r="E39" s="509"/>
      <c r="F39" s="509"/>
      <c r="G39" s="509"/>
      <c r="H39" s="773"/>
      <c r="I39" s="769"/>
      <c r="J39" s="769"/>
      <c r="K39" s="770"/>
      <c r="L39" s="510"/>
      <c r="M39" s="376"/>
      <c r="AI39" s="395">
        <v>6</v>
      </c>
      <c r="AJ39" s="396" t="s">
        <v>269</v>
      </c>
      <c r="AK39" s="397">
        <v>300000</v>
      </c>
      <c r="AL39" s="410">
        <v>49020</v>
      </c>
      <c r="AM39" s="411"/>
      <c r="AN39" s="411">
        <f t="shared" si="2"/>
        <v>16.34</v>
      </c>
    </row>
    <row r="40" spans="1:40" ht="24" customHeight="1">
      <c r="A40" s="379" t="s">
        <v>160</v>
      </c>
      <c r="B40" s="302">
        <v>5.45</v>
      </c>
      <c r="C40" s="405">
        <v>0.5</v>
      </c>
      <c r="D40" s="405">
        <v>0.75</v>
      </c>
      <c r="E40" s="405">
        <v>1</v>
      </c>
      <c r="F40" s="405">
        <v>1</v>
      </c>
      <c r="G40" s="405">
        <v>1</v>
      </c>
      <c r="H40" s="738" t="s">
        <v>309</v>
      </c>
      <c r="I40" s="739"/>
      <c r="J40" s="739"/>
      <c r="K40" s="740"/>
      <c r="L40" s="303">
        <v>1</v>
      </c>
      <c r="M40" s="380">
        <f>IF(L40=0,"-",ROUND(L40*B40/B$77,4))</f>
        <v>5.45E-2</v>
      </c>
      <c r="AI40" s="395">
        <v>9</v>
      </c>
      <c r="AJ40" s="396" t="s">
        <v>271</v>
      </c>
      <c r="AK40" s="397">
        <v>300000</v>
      </c>
      <c r="AL40" s="410">
        <v>0</v>
      </c>
      <c r="AM40" s="411"/>
      <c r="AN40" s="411">
        <f t="shared" si="2"/>
        <v>0</v>
      </c>
    </row>
    <row r="41" spans="1:40" ht="24" customHeight="1">
      <c r="A41" s="381" t="s">
        <v>161</v>
      </c>
      <c r="B41" s="515"/>
      <c r="C41" s="516"/>
      <c r="D41" s="516"/>
      <c r="E41" s="516"/>
      <c r="F41" s="516" t="s">
        <v>70</v>
      </c>
      <c r="G41" s="516" t="s">
        <v>70</v>
      </c>
      <c r="H41" s="763" t="s">
        <v>213</v>
      </c>
      <c r="I41" s="763"/>
      <c r="J41" s="763"/>
      <c r="K41" s="764"/>
      <c r="L41" s="384"/>
      <c r="M41" s="385"/>
      <c r="AI41" s="395">
        <v>11</v>
      </c>
      <c r="AJ41" s="396" t="s">
        <v>273</v>
      </c>
      <c r="AK41" s="397">
        <v>500000</v>
      </c>
      <c r="AL41" s="410">
        <v>62536.11</v>
      </c>
      <c r="AM41" s="411"/>
      <c r="AN41" s="411">
        <f t="shared" si="2"/>
        <v>12.507222000000001</v>
      </c>
    </row>
    <row r="42" spans="1:40" ht="24" customHeight="1">
      <c r="A42" s="381" t="s">
        <v>310</v>
      </c>
      <c r="B42" s="515"/>
      <c r="C42" s="516"/>
      <c r="D42" s="516"/>
      <c r="E42" s="516"/>
      <c r="F42" s="516" t="s">
        <v>138</v>
      </c>
      <c r="G42" s="516" t="s">
        <v>139</v>
      </c>
      <c r="H42" s="565" t="s">
        <v>200</v>
      </c>
      <c r="I42" s="400" t="s">
        <v>56</v>
      </c>
      <c r="J42" s="472">
        <v>20</v>
      </c>
      <c r="K42" s="562" t="s">
        <v>51</v>
      </c>
      <c r="L42" s="384"/>
      <c r="M42" s="385"/>
      <c r="AI42" s="395"/>
      <c r="AJ42" s="396" t="s">
        <v>275</v>
      </c>
      <c r="AK42" s="397">
        <v>300000</v>
      </c>
      <c r="AL42" s="410">
        <v>57903.85</v>
      </c>
      <c r="AM42" s="411"/>
      <c r="AN42" s="411">
        <f t="shared" si="2"/>
        <v>19.301283333333334</v>
      </c>
    </row>
    <row r="43" spans="1:40" ht="24" customHeight="1">
      <c r="A43" s="507"/>
      <c r="B43" s="508"/>
      <c r="C43" s="509"/>
      <c r="D43" s="509"/>
      <c r="E43" s="509"/>
      <c r="F43" s="509"/>
      <c r="G43" s="509"/>
      <c r="H43" s="773"/>
      <c r="I43" s="774"/>
      <c r="J43" s="774"/>
      <c r="K43" s="775"/>
      <c r="L43" s="510"/>
      <c r="M43" s="376"/>
      <c r="AI43" s="395"/>
      <c r="AJ43" s="396" t="s">
        <v>276</v>
      </c>
      <c r="AK43" s="397">
        <v>300000</v>
      </c>
      <c r="AL43" s="410">
        <v>94848.7</v>
      </c>
      <c r="AM43" s="411"/>
      <c r="AN43" s="411">
        <f t="shared" si="2"/>
        <v>31.616233333333334</v>
      </c>
    </row>
    <row r="44" spans="1:40" ht="24" customHeight="1">
      <c r="A44" s="379" t="s">
        <v>149</v>
      </c>
      <c r="B44" s="302">
        <v>16.36</v>
      </c>
      <c r="C44" s="405">
        <v>0.75</v>
      </c>
      <c r="D44" s="405">
        <v>0.78</v>
      </c>
      <c r="E44" s="405">
        <v>0.81</v>
      </c>
      <c r="F44" s="405">
        <v>0.84</v>
      </c>
      <c r="G44" s="405">
        <v>0.87</v>
      </c>
      <c r="H44" s="738" t="s">
        <v>303</v>
      </c>
      <c r="I44" s="739"/>
      <c r="J44" s="739"/>
      <c r="K44" s="740"/>
      <c r="L44" s="303">
        <v>1</v>
      </c>
      <c r="M44" s="380">
        <f>IF(L44=0,"-",ROUND(L44*B44/B$77,4))</f>
        <v>0.1636</v>
      </c>
      <c r="AI44" s="395">
        <v>13</v>
      </c>
      <c r="AJ44" s="396" t="s">
        <v>281</v>
      </c>
      <c r="AK44" s="397">
        <v>300000</v>
      </c>
      <c r="AL44" s="410">
        <v>205897.2</v>
      </c>
      <c r="AM44" s="411"/>
      <c r="AN44" s="411">
        <f t="shared" si="2"/>
        <v>68.632400000000004</v>
      </c>
    </row>
    <row r="45" spans="1:40" ht="24" customHeight="1">
      <c r="A45" s="381" t="s">
        <v>137</v>
      </c>
      <c r="B45" s="382"/>
      <c r="C45" s="383"/>
      <c r="D45" s="383"/>
      <c r="E45" s="383"/>
      <c r="F45" s="383"/>
      <c r="G45" s="383"/>
      <c r="H45" s="762" t="s">
        <v>272</v>
      </c>
      <c r="I45" s="763"/>
      <c r="J45" s="763"/>
      <c r="K45" s="764"/>
      <c r="L45" s="384"/>
      <c r="M45" s="385"/>
      <c r="AI45" s="395"/>
      <c r="AJ45" s="396" t="s">
        <v>282</v>
      </c>
      <c r="AK45" s="397">
        <v>300000</v>
      </c>
      <c r="AL45" s="410">
        <v>100339.9</v>
      </c>
      <c r="AM45" s="411"/>
      <c r="AN45" s="411">
        <f t="shared" si="2"/>
        <v>33.446633333333331</v>
      </c>
    </row>
    <row r="46" spans="1:40" ht="24" customHeight="1">
      <c r="A46" s="381"/>
      <c r="B46" s="382"/>
      <c r="C46" s="383"/>
      <c r="D46" s="383"/>
      <c r="E46" s="383"/>
      <c r="F46" s="383"/>
      <c r="G46" s="383"/>
      <c r="H46" s="589"/>
      <c r="I46" s="589" t="s">
        <v>87</v>
      </c>
      <c r="J46" s="590">
        <v>619753687</v>
      </c>
      <c r="K46" s="562" t="s">
        <v>163</v>
      </c>
      <c r="L46" s="384"/>
      <c r="M46" s="385"/>
      <c r="AI46" s="395"/>
      <c r="AJ46" s="396" t="s">
        <v>283</v>
      </c>
      <c r="AK46" s="397">
        <v>300000</v>
      </c>
      <c r="AL46" s="410">
        <v>57000</v>
      </c>
      <c r="AM46" s="411"/>
      <c r="AN46" s="411">
        <f t="shared" si="2"/>
        <v>19</v>
      </c>
    </row>
    <row r="47" spans="1:40" ht="24" customHeight="1">
      <c r="A47" s="381"/>
      <c r="B47" s="382"/>
      <c r="C47" s="383"/>
      <c r="D47" s="383"/>
      <c r="E47" s="383"/>
      <c r="F47" s="383"/>
      <c r="G47" s="383"/>
      <c r="H47" s="589"/>
      <c r="I47" s="400" t="s">
        <v>195</v>
      </c>
      <c r="J47" s="591">
        <v>462567079</v>
      </c>
      <c r="K47" s="562" t="s">
        <v>163</v>
      </c>
      <c r="L47" s="384"/>
      <c r="M47" s="385"/>
      <c r="AI47" s="395"/>
      <c r="AJ47" s="396" t="s">
        <v>284</v>
      </c>
      <c r="AK47" s="397">
        <v>300000</v>
      </c>
      <c r="AL47" s="410">
        <v>54914.85</v>
      </c>
      <c r="AM47" s="411"/>
      <c r="AN47" s="411">
        <f t="shared" si="2"/>
        <v>18.304950000000002</v>
      </c>
    </row>
    <row r="48" spans="1:40" ht="24" customHeight="1">
      <c r="A48" s="381"/>
      <c r="B48" s="382"/>
      <c r="C48" s="383"/>
      <c r="D48" s="383"/>
      <c r="E48" s="383"/>
      <c r="F48" s="383"/>
      <c r="G48" s="383"/>
      <c r="H48" s="589"/>
      <c r="I48" s="400" t="s">
        <v>196</v>
      </c>
      <c r="J48" s="472">
        <v>74.39</v>
      </c>
      <c r="K48" s="562" t="s">
        <v>51</v>
      </c>
      <c r="L48" s="384"/>
      <c r="M48" s="385"/>
      <c r="AI48" s="395"/>
      <c r="AJ48" s="396" t="s">
        <v>285</v>
      </c>
      <c r="AK48" s="397">
        <v>300000</v>
      </c>
      <c r="AL48" s="410">
        <v>66279.649999999994</v>
      </c>
      <c r="AM48" s="411"/>
      <c r="AN48" s="411">
        <f t="shared" si="2"/>
        <v>22.093216666666663</v>
      </c>
    </row>
    <row r="49" spans="1:40" ht="24" customHeight="1">
      <c r="A49" s="507"/>
      <c r="B49" s="508"/>
      <c r="C49" s="509"/>
      <c r="D49" s="509"/>
      <c r="E49" s="509"/>
      <c r="F49" s="509"/>
      <c r="G49" s="509"/>
      <c r="H49" s="592"/>
      <c r="I49" s="519"/>
      <c r="J49" s="593"/>
      <c r="K49" s="520"/>
      <c r="L49" s="510"/>
      <c r="M49" s="376"/>
      <c r="AI49" s="395"/>
      <c r="AJ49" s="396" t="s">
        <v>286</v>
      </c>
      <c r="AK49" s="397">
        <v>500000</v>
      </c>
      <c r="AL49" s="410">
        <v>147338.20000000001</v>
      </c>
      <c r="AM49" s="411"/>
      <c r="AN49" s="411">
        <f t="shared" si="2"/>
        <v>29.467640000000003</v>
      </c>
    </row>
    <row r="50" spans="1:40" ht="24" customHeight="1">
      <c r="A50" s="379" t="s">
        <v>150</v>
      </c>
      <c r="B50" s="302">
        <v>1.87</v>
      </c>
      <c r="C50" s="405">
        <v>0.6</v>
      </c>
      <c r="D50" s="405">
        <v>0.65</v>
      </c>
      <c r="E50" s="405">
        <v>0.7</v>
      </c>
      <c r="F50" s="405">
        <v>0.75</v>
      </c>
      <c r="G50" s="405">
        <v>0.8</v>
      </c>
      <c r="H50" s="738" t="s">
        <v>222</v>
      </c>
      <c r="I50" s="739"/>
      <c r="J50" s="739"/>
      <c r="K50" s="740"/>
      <c r="L50" s="303">
        <v>5</v>
      </c>
      <c r="M50" s="380">
        <f>IF(L50=0,"-",ROUND(L50*B50/B$77,4))</f>
        <v>9.35E-2</v>
      </c>
      <c r="AI50" s="395"/>
      <c r="AJ50" s="396" t="s">
        <v>277</v>
      </c>
      <c r="AK50" s="397">
        <v>500000</v>
      </c>
      <c r="AL50" s="410">
        <v>150000</v>
      </c>
      <c r="AM50" s="411"/>
      <c r="AN50" s="411">
        <f t="shared" si="2"/>
        <v>30</v>
      </c>
    </row>
    <row r="51" spans="1:40" ht="24" customHeight="1">
      <c r="A51" s="381" t="s">
        <v>151</v>
      </c>
      <c r="B51" s="515"/>
      <c r="C51" s="594"/>
      <c r="D51" s="594"/>
      <c r="E51" s="594"/>
      <c r="F51" s="594"/>
      <c r="G51" s="594"/>
      <c r="H51" s="762" t="s">
        <v>223</v>
      </c>
      <c r="I51" s="763"/>
      <c r="J51" s="763"/>
      <c r="K51" s="764"/>
      <c r="L51" s="384"/>
      <c r="M51" s="385"/>
      <c r="AI51" s="395"/>
      <c r="AJ51" s="396"/>
      <c r="AK51" s="397" t="e">
        <f>AK36+AK37+AK38+#REF!+AK39+AK40+AK41+AK42+#REF!+AK43+AK44+AK45+AK46+AK47+AK48+AK49+AK50</f>
        <v>#REF!</v>
      </c>
      <c r="AL51" s="410" t="e">
        <f>AL36+AL37+AL38+#REF!+AL39+AL40+AL41+AL42+#REF!+AL43+AL44+AL45+AL46+AL47+AL48+AL49+AL50</f>
        <v>#REF!</v>
      </c>
      <c r="AM51" s="411"/>
      <c r="AN51" s="411" t="e">
        <f>AL51*100/AK51</f>
        <v>#REF!</v>
      </c>
    </row>
    <row r="52" spans="1:40" ht="24" customHeight="1">
      <c r="A52" s="381" t="s">
        <v>91</v>
      </c>
      <c r="B52" s="382"/>
      <c r="C52" s="383"/>
      <c r="D52" s="383"/>
      <c r="E52" s="383"/>
      <c r="F52" s="383"/>
      <c r="G52" s="383"/>
      <c r="H52" s="762" t="s">
        <v>224</v>
      </c>
      <c r="I52" s="763"/>
      <c r="J52" s="763"/>
      <c r="K52" s="764"/>
      <c r="L52" s="384"/>
      <c r="M52" s="385"/>
    </row>
    <row r="53" spans="1:40" ht="24" customHeight="1">
      <c r="A53" s="381"/>
      <c r="B53" s="382"/>
      <c r="C53" s="383"/>
      <c r="D53" s="383"/>
      <c r="E53" s="383"/>
      <c r="F53" s="383"/>
      <c r="G53" s="383"/>
      <c r="H53" s="565"/>
      <c r="I53" s="400" t="s">
        <v>97</v>
      </c>
      <c r="J53" s="591">
        <v>271</v>
      </c>
      <c r="K53" s="566" t="s">
        <v>96</v>
      </c>
      <c r="L53" s="384"/>
      <c r="M53" s="385"/>
    </row>
    <row r="54" spans="1:40" ht="24" customHeight="1">
      <c r="A54" s="381"/>
      <c r="B54" s="382"/>
      <c r="C54" s="383"/>
      <c r="D54" s="383"/>
      <c r="E54" s="383"/>
      <c r="F54" s="383"/>
      <c r="G54" s="383"/>
      <c r="H54" s="565"/>
      <c r="I54" s="400" t="s">
        <v>98</v>
      </c>
      <c r="J54" s="591">
        <v>271</v>
      </c>
      <c r="K54" s="566" t="s">
        <v>96</v>
      </c>
      <c r="L54" s="384"/>
      <c r="M54" s="385"/>
    </row>
    <row r="55" spans="1:40" ht="24" customHeight="1">
      <c r="A55" s="381"/>
      <c r="B55" s="382"/>
      <c r="C55" s="383"/>
      <c r="D55" s="383"/>
      <c r="E55" s="383"/>
      <c r="F55" s="383"/>
      <c r="G55" s="383"/>
      <c r="H55" s="560"/>
      <c r="I55" s="400" t="s">
        <v>35</v>
      </c>
      <c r="J55" s="486">
        <f>ROUND(J54*100/J53,2)</f>
        <v>100</v>
      </c>
      <c r="K55" s="562" t="s">
        <v>51</v>
      </c>
      <c r="L55" s="384"/>
      <c r="M55" s="385"/>
    </row>
    <row r="56" spans="1:40" ht="24" customHeight="1">
      <c r="A56" s="507"/>
      <c r="B56" s="508"/>
      <c r="C56" s="509"/>
      <c r="D56" s="509"/>
      <c r="E56" s="509"/>
      <c r="F56" s="509"/>
      <c r="G56" s="509"/>
      <c r="H56" s="595"/>
      <c r="I56" s="596"/>
      <c r="J56" s="596"/>
      <c r="K56" s="567"/>
      <c r="L56" s="510"/>
      <c r="M56" s="376"/>
    </row>
    <row r="57" spans="1:40" ht="24" customHeight="1">
      <c r="A57" s="597" t="s">
        <v>152</v>
      </c>
      <c r="B57" s="490">
        <v>5.45</v>
      </c>
      <c r="C57" s="598">
        <v>0.65</v>
      </c>
      <c r="D57" s="598">
        <v>0.7</v>
      </c>
      <c r="E57" s="598">
        <v>0.75</v>
      </c>
      <c r="F57" s="598">
        <v>0.8</v>
      </c>
      <c r="G57" s="598">
        <v>0.85</v>
      </c>
      <c r="H57" s="738" t="s">
        <v>225</v>
      </c>
      <c r="I57" s="739"/>
      <c r="J57" s="739"/>
      <c r="K57" s="740"/>
      <c r="L57" s="303">
        <v>4.7939999999999996</v>
      </c>
      <c r="M57" s="380">
        <f>IF(L57=0,"-",ROUND(L57*B57/B$77,4))</f>
        <v>0.26129999999999998</v>
      </c>
    </row>
    <row r="58" spans="1:40" ht="24" customHeight="1">
      <c r="A58" s="381" t="s">
        <v>153</v>
      </c>
      <c r="B58" s="382"/>
      <c r="C58" s="383"/>
      <c r="D58" s="383"/>
      <c r="E58" s="383"/>
      <c r="F58" s="383"/>
      <c r="G58" s="383"/>
      <c r="H58" s="762" t="s">
        <v>226</v>
      </c>
      <c r="I58" s="763"/>
      <c r="J58" s="763"/>
      <c r="K58" s="764"/>
      <c r="L58" s="384"/>
      <c r="M58" s="385"/>
    </row>
    <row r="59" spans="1:40" ht="24" customHeight="1">
      <c r="A59" s="599" t="s">
        <v>162</v>
      </c>
      <c r="B59" s="382"/>
      <c r="C59" s="383"/>
      <c r="D59" s="383"/>
      <c r="E59" s="383"/>
      <c r="F59" s="383"/>
      <c r="G59" s="383"/>
      <c r="H59" s="565" t="s">
        <v>200</v>
      </c>
      <c r="I59" s="600" t="s">
        <v>113</v>
      </c>
      <c r="J59" s="486">
        <v>83.97</v>
      </c>
      <c r="K59" s="562" t="s">
        <v>51</v>
      </c>
      <c r="L59" s="384"/>
      <c r="M59" s="385"/>
    </row>
    <row r="60" spans="1:40" ht="24" customHeight="1">
      <c r="A60" s="381"/>
      <c r="B60" s="382"/>
      <c r="C60" s="383"/>
      <c r="D60" s="383"/>
      <c r="E60" s="383"/>
      <c r="F60" s="383"/>
      <c r="G60" s="517"/>
      <c r="H60" s="601"/>
      <c r="I60" s="601"/>
      <c r="J60" s="601"/>
      <c r="K60" s="601"/>
      <c r="L60" s="384"/>
      <c r="M60" s="385"/>
    </row>
    <row r="61" spans="1:40" ht="24" customHeight="1">
      <c r="A61" s="379" t="s">
        <v>154</v>
      </c>
      <c r="B61" s="490">
        <v>5.45</v>
      </c>
      <c r="C61" s="496" t="s">
        <v>29</v>
      </c>
      <c r="D61" s="496" t="s">
        <v>30</v>
      </c>
      <c r="E61" s="496" t="s">
        <v>31</v>
      </c>
      <c r="F61" s="496" t="s">
        <v>32</v>
      </c>
      <c r="G61" s="496" t="s">
        <v>33</v>
      </c>
      <c r="H61" s="738" t="s">
        <v>227</v>
      </c>
      <c r="I61" s="739"/>
      <c r="J61" s="739"/>
      <c r="K61" s="740"/>
      <c r="L61" s="303">
        <v>1</v>
      </c>
      <c r="M61" s="380">
        <f>IF(L61=0,"-",ROUND(L61*B61/B$77,4))</f>
        <v>5.45E-2</v>
      </c>
    </row>
    <row r="62" spans="1:40" ht="24" customHeight="1">
      <c r="A62" s="381" t="s">
        <v>107</v>
      </c>
      <c r="B62" s="382"/>
      <c r="C62" s="497">
        <v>1.5</v>
      </c>
      <c r="D62" s="497">
        <v>2</v>
      </c>
      <c r="E62" s="497">
        <v>2.5</v>
      </c>
      <c r="F62" s="497">
        <v>3</v>
      </c>
      <c r="G62" s="497">
        <v>5</v>
      </c>
      <c r="H62" s="762" t="s">
        <v>228</v>
      </c>
      <c r="I62" s="763"/>
      <c r="J62" s="763"/>
      <c r="K62" s="764"/>
      <c r="L62" s="384"/>
      <c r="M62" s="385"/>
    </row>
    <row r="63" spans="1:40" ht="24" customHeight="1">
      <c r="A63" s="381" t="s">
        <v>310</v>
      </c>
      <c r="B63" s="382"/>
      <c r="C63" s="517"/>
      <c r="D63" s="517"/>
      <c r="E63" s="517"/>
      <c r="F63" s="517"/>
      <c r="G63" s="517"/>
      <c r="H63" s="762" t="s">
        <v>213</v>
      </c>
      <c r="I63" s="763"/>
      <c r="J63" s="763"/>
      <c r="K63" s="764"/>
      <c r="L63" s="384"/>
      <c r="M63" s="385"/>
    </row>
    <row r="64" spans="1:40" ht="24" customHeight="1">
      <c r="A64" s="381"/>
      <c r="B64" s="382"/>
      <c r="C64" s="517"/>
      <c r="D64" s="517"/>
      <c r="E64" s="517"/>
      <c r="F64" s="517"/>
      <c r="G64" s="517"/>
      <c r="H64" s="560"/>
      <c r="I64" s="400" t="s">
        <v>112</v>
      </c>
      <c r="J64" s="472" t="s">
        <v>11</v>
      </c>
      <c r="K64" s="566"/>
      <c r="L64" s="384"/>
      <c r="M64" s="385"/>
    </row>
    <row r="65" spans="1:34" ht="24" customHeight="1">
      <c r="A65" s="507"/>
      <c r="B65" s="508"/>
      <c r="C65" s="509"/>
      <c r="D65" s="509"/>
      <c r="E65" s="509"/>
      <c r="F65" s="509"/>
      <c r="G65" s="509"/>
      <c r="H65" s="511"/>
      <c r="I65" s="519"/>
      <c r="J65" s="519"/>
      <c r="K65" s="520"/>
      <c r="L65" s="510"/>
      <c r="M65" s="376"/>
    </row>
    <row r="66" spans="1:34" ht="24" customHeight="1">
      <c r="A66" s="602" t="s">
        <v>155</v>
      </c>
      <c r="B66" s="490">
        <v>5.45</v>
      </c>
      <c r="C66" s="598">
        <v>0.1</v>
      </c>
      <c r="D66" s="598">
        <v>0.3</v>
      </c>
      <c r="E66" s="598">
        <v>0.5</v>
      </c>
      <c r="F66" s="598">
        <v>0.7</v>
      </c>
      <c r="G66" s="598">
        <v>1</v>
      </c>
      <c r="H66" s="738" t="s">
        <v>316</v>
      </c>
      <c r="I66" s="739"/>
      <c r="J66" s="739"/>
      <c r="K66" s="740"/>
      <c r="L66" s="303">
        <f>ROUND(4+((J69-70)*1/30),4)</f>
        <v>4.7</v>
      </c>
      <c r="M66" s="380">
        <f>IF(L66=0,"-",ROUND(L66*B66/B$77,4))</f>
        <v>0.25619999999999998</v>
      </c>
      <c r="Q66" s="368" t="s">
        <v>164</v>
      </c>
      <c r="R66" s="368" t="s">
        <v>165</v>
      </c>
      <c r="S66" s="368" t="s">
        <v>166</v>
      </c>
      <c r="T66" s="368" t="s">
        <v>180</v>
      </c>
      <c r="U66" s="368" t="s">
        <v>181</v>
      </c>
      <c r="V66" s="368" t="s">
        <v>278</v>
      </c>
      <c r="W66" s="368" t="s">
        <v>183</v>
      </c>
      <c r="X66" s="368" t="s">
        <v>184</v>
      </c>
      <c r="Y66" s="368" t="s">
        <v>185</v>
      </c>
      <c r="Z66" s="368" t="s">
        <v>186</v>
      </c>
      <c r="AA66" s="368" t="s">
        <v>187</v>
      </c>
      <c r="AB66" s="368" t="s">
        <v>188</v>
      </c>
      <c r="AC66" s="368" t="s">
        <v>189</v>
      </c>
      <c r="AD66" s="368" t="s">
        <v>190</v>
      </c>
      <c r="AE66" s="368" t="s">
        <v>191</v>
      </c>
      <c r="AF66" s="368" t="s">
        <v>192</v>
      </c>
      <c r="AG66" s="368" t="s">
        <v>193</v>
      </c>
      <c r="AH66" s="368" t="s">
        <v>20</v>
      </c>
    </row>
    <row r="67" spans="1:34" ht="24" customHeight="1">
      <c r="A67" s="603" t="s">
        <v>197</v>
      </c>
      <c r="B67" s="604"/>
      <c r="C67" s="383"/>
      <c r="D67" s="383"/>
      <c r="E67" s="383"/>
      <c r="F67" s="383"/>
      <c r="G67" s="406"/>
      <c r="H67" s="560" t="s">
        <v>317</v>
      </c>
      <c r="I67" s="501"/>
      <c r="J67" s="581"/>
      <c r="K67" s="582"/>
      <c r="L67" s="518"/>
      <c r="M67" s="385"/>
      <c r="Q67" s="368">
        <v>82</v>
      </c>
      <c r="R67" s="368">
        <v>100</v>
      </c>
      <c r="S67" s="368">
        <v>0</v>
      </c>
      <c r="T67" s="368">
        <v>82</v>
      </c>
      <c r="U67" s="368">
        <v>72</v>
      </c>
      <c r="V67" s="368">
        <v>81</v>
      </c>
      <c r="W67" s="368">
        <v>95</v>
      </c>
      <c r="X67" s="368">
        <v>72</v>
      </c>
      <c r="Y67" s="368">
        <v>80</v>
      </c>
      <c r="Z67" s="368">
        <v>76</v>
      </c>
      <c r="AA67" s="368">
        <v>76</v>
      </c>
      <c r="AB67" s="368">
        <v>86</v>
      </c>
      <c r="AC67" s="368">
        <v>76</v>
      </c>
      <c r="AD67" s="368">
        <v>70</v>
      </c>
      <c r="AE67" s="368">
        <v>100</v>
      </c>
      <c r="AF67" s="368">
        <v>72</v>
      </c>
      <c r="AG67" s="368">
        <v>95</v>
      </c>
      <c r="AH67" s="404">
        <f>(Q67+R67+S67+T67+U67+V67+W67+X67+Y67+Z67+AA67+AB67+AC67+AD67+AE67+AF67+AG67)/17</f>
        <v>77.352941176470594</v>
      </c>
    </row>
    <row r="68" spans="1:34" ht="24" customHeight="1">
      <c r="A68" s="381" t="s">
        <v>310</v>
      </c>
      <c r="B68" s="604"/>
      <c r="C68" s="383"/>
      <c r="D68" s="383"/>
      <c r="E68" s="383"/>
      <c r="F68" s="383"/>
      <c r="G68" s="383"/>
      <c r="H68" s="561" t="s">
        <v>231</v>
      </c>
      <c r="I68" s="501"/>
      <c r="J68" s="581"/>
      <c r="K68" s="582"/>
      <c r="L68" s="518"/>
      <c r="M68" s="385"/>
    </row>
    <row r="69" spans="1:34" ht="24" customHeight="1">
      <c r="A69" s="603"/>
      <c r="B69" s="604"/>
      <c r="C69" s="383"/>
      <c r="D69" s="383"/>
      <c r="E69" s="383"/>
      <c r="F69" s="383"/>
      <c r="G69" s="383"/>
      <c r="H69" s="560"/>
      <c r="I69" s="400" t="s">
        <v>114</v>
      </c>
      <c r="J69" s="545">
        <v>91</v>
      </c>
      <c r="K69" s="562" t="s">
        <v>51</v>
      </c>
      <c r="L69" s="518"/>
      <c r="M69" s="385"/>
      <c r="P69" s="305"/>
    </row>
    <row r="70" spans="1:34" ht="24" customHeight="1">
      <c r="A70" s="605"/>
      <c r="B70" s="606"/>
      <c r="C70" s="509"/>
      <c r="D70" s="509"/>
      <c r="E70" s="509"/>
      <c r="F70" s="509"/>
      <c r="G70" s="509"/>
      <c r="H70" s="512"/>
      <c r="I70" s="519"/>
      <c r="J70" s="519"/>
      <c r="K70" s="520"/>
      <c r="L70" s="607"/>
      <c r="M70" s="376"/>
    </row>
    <row r="71" spans="1:34" ht="24" customHeight="1">
      <c r="A71" s="379" t="s">
        <v>156</v>
      </c>
      <c r="B71" s="490">
        <v>5.45</v>
      </c>
      <c r="C71" s="498">
        <v>0.8</v>
      </c>
      <c r="D71" s="498">
        <v>0.85</v>
      </c>
      <c r="E71" s="498">
        <v>0.9</v>
      </c>
      <c r="F71" s="498">
        <v>0.95</v>
      </c>
      <c r="G71" s="498">
        <v>1</v>
      </c>
      <c r="H71" s="738" t="s">
        <v>304</v>
      </c>
      <c r="I71" s="739"/>
      <c r="J71" s="739"/>
      <c r="K71" s="740"/>
      <c r="L71" s="303">
        <f>ROUND(4+((J75-95)*1/5),4)</f>
        <v>5</v>
      </c>
      <c r="M71" s="380">
        <f>IF(L71=0,"-",ROUND(L71*B71/B$77,4))</f>
        <v>0.27250000000000002</v>
      </c>
      <c r="R71" s="413"/>
    </row>
    <row r="72" spans="1:34" ht="24" customHeight="1">
      <c r="A72" s="381" t="s">
        <v>116</v>
      </c>
      <c r="B72" s="382"/>
      <c r="C72" s="497"/>
      <c r="D72" s="497"/>
      <c r="E72" s="497"/>
      <c r="F72" s="497"/>
      <c r="G72" s="497"/>
      <c r="H72" s="762" t="s">
        <v>305</v>
      </c>
      <c r="I72" s="763"/>
      <c r="J72" s="763"/>
      <c r="K72" s="764"/>
      <c r="L72" s="384"/>
      <c r="M72" s="385"/>
    </row>
    <row r="73" spans="1:34" ht="24" customHeight="1">
      <c r="A73" s="381" t="s">
        <v>310</v>
      </c>
      <c r="B73" s="382"/>
      <c r="C73" s="383"/>
      <c r="D73" s="383"/>
      <c r="E73" s="383"/>
      <c r="F73" s="383"/>
      <c r="G73" s="383"/>
      <c r="H73" s="762" t="s">
        <v>306</v>
      </c>
      <c r="I73" s="763"/>
      <c r="J73" s="763"/>
      <c r="K73" s="764"/>
      <c r="L73" s="384"/>
      <c r="M73" s="385"/>
      <c r="O73" s="375"/>
      <c r="P73" s="375"/>
      <c r="Q73" s="375"/>
      <c r="R73" s="375"/>
      <c r="S73" s="375"/>
      <c r="T73" s="375"/>
      <c r="U73" s="375"/>
      <c r="V73" s="375"/>
      <c r="W73" s="375"/>
      <c r="X73" s="375"/>
      <c r="Y73" s="375"/>
      <c r="Z73" s="375"/>
      <c r="AA73" s="375"/>
      <c r="AB73" s="375"/>
      <c r="AC73" s="375"/>
      <c r="AD73" s="375"/>
      <c r="AE73" s="375"/>
      <c r="AF73" s="375"/>
    </row>
    <row r="74" spans="1:34" ht="24" customHeight="1">
      <c r="A74" s="381"/>
      <c r="B74" s="382"/>
      <c r="C74" s="383"/>
      <c r="D74" s="383"/>
      <c r="E74" s="383"/>
      <c r="F74" s="383"/>
      <c r="G74" s="383"/>
      <c r="H74" s="560" t="s">
        <v>307</v>
      </c>
      <c r="I74" s="561"/>
      <c r="J74" s="561"/>
      <c r="K74" s="562"/>
      <c r="L74" s="384"/>
      <c r="M74" s="385"/>
      <c r="O74" s="414"/>
      <c r="P74" s="414"/>
      <c r="Q74" s="414"/>
      <c r="R74" s="414"/>
      <c r="S74" s="414"/>
      <c r="T74" s="414"/>
      <c r="U74" s="414"/>
      <c r="V74" s="414"/>
      <c r="W74" s="414"/>
      <c r="X74" s="414"/>
      <c r="Y74" s="414"/>
      <c r="Z74" s="414"/>
      <c r="AA74" s="414"/>
      <c r="AB74" s="414"/>
      <c r="AC74" s="414"/>
      <c r="AD74" s="414"/>
      <c r="AE74" s="414"/>
      <c r="AF74" s="414"/>
    </row>
    <row r="75" spans="1:34" ht="24" customHeight="1">
      <c r="A75" s="381"/>
      <c r="B75" s="382"/>
      <c r="C75" s="383"/>
      <c r="D75" s="383"/>
      <c r="E75" s="383"/>
      <c r="F75" s="383"/>
      <c r="G75" s="383"/>
      <c r="H75" s="560"/>
      <c r="I75" s="400" t="s">
        <v>114</v>
      </c>
      <c r="J75" s="545">
        <v>100</v>
      </c>
      <c r="K75" s="566" t="s">
        <v>51</v>
      </c>
      <c r="L75" s="384"/>
      <c r="M75" s="385"/>
      <c r="O75" s="414"/>
      <c r="P75" s="414"/>
      <c r="Q75" s="414"/>
      <c r="R75" s="414"/>
      <c r="S75" s="414"/>
      <c r="T75" s="414"/>
      <c r="U75" s="414"/>
      <c r="V75" s="414"/>
      <c r="W75" s="414"/>
      <c r="X75" s="414"/>
      <c r="Y75" s="414"/>
      <c r="Z75" s="414"/>
      <c r="AA75" s="414"/>
      <c r="AB75" s="414"/>
      <c r="AC75" s="414"/>
      <c r="AD75" s="414"/>
      <c r="AE75" s="414"/>
      <c r="AF75" s="414"/>
    </row>
    <row r="76" spans="1:34" ht="24" customHeight="1">
      <c r="A76" s="381"/>
      <c r="B76" s="608"/>
      <c r="C76" s="383"/>
      <c r="D76" s="383"/>
      <c r="E76" s="383"/>
      <c r="F76" s="383"/>
      <c r="G76" s="517"/>
      <c r="H76" s="560"/>
      <c r="I76" s="601"/>
      <c r="J76" s="600"/>
      <c r="K76" s="566"/>
      <c r="L76" s="384"/>
      <c r="M76" s="385"/>
      <c r="O76" s="414"/>
      <c r="P76" s="414"/>
      <c r="Q76" s="414"/>
      <c r="R76" s="414"/>
      <c r="S76" s="414"/>
      <c r="T76" s="414"/>
      <c r="U76" s="414"/>
      <c r="V76" s="414"/>
      <c r="W76" s="414"/>
      <c r="X76" s="414"/>
      <c r="Y76" s="414"/>
      <c r="Z76" s="414"/>
      <c r="AA76" s="414"/>
      <c r="AB76" s="414"/>
      <c r="AC76" s="414"/>
      <c r="AD76" s="414"/>
      <c r="AE76" s="414"/>
      <c r="AF76" s="414"/>
    </row>
    <row r="77" spans="1:34" ht="24" customHeight="1">
      <c r="A77" s="415"/>
      <c r="B77" s="416">
        <f>SUM(B6:B76)</f>
        <v>100.00000000000003</v>
      </c>
      <c r="C77" s="417"/>
      <c r="D77" s="417"/>
      <c r="E77" s="417"/>
      <c r="F77" s="417"/>
      <c r="G77" s="418"/>
      <c r="H77" s="417"/>
      <c r="I77" s="417"/>
      <c r="J77" s="417"/>
      <c r="K77" s="417"/>
      <c r="L77" s="419" t="s">
        <v>140</v>
      </c>
      <c r="M77" s="420">
        <f>SUM(M6:M76)</f>
        <v>2.4214000000000002</v>
      </c>
      <c r="O77" s="414"/>
      <c r="P77" s="414"/>
      <c r="Q77" s="414"/>
      <c r="R77" s="414"/>
      <c r="S77" s="414"/>
      <c r="T77" s="414"/>
      <c r="U77" s="414"/>
      <c r="V77" s="414"/>
      <c r="W77" s="414"/>
      <c r="X77" s="414"/>
      <c r="Y77" s="414"/>
      <c r="Z77" s="414"/>
      <c r="AA77" s="414"/>
      <c r="AB77" s="414"/>
      <c r="AC77" s="414"/>
      <c r="AD77" s="414"/>
      <c r="AE77" s="414"/>
      <c r="AF77" s="414"/>
    </row>
    <row r="78" spans="1:34" ht="24" customHeight="1">
      <c r="O78" s="414"/>
      <c r="P78" s="414"/>
      <c r="Q78" s="414"/>
      <c r="R78" s="414"/>
      <c r="S78" s="414"/>
      <c r="T78" s="414"/>
      <c r="U78" s="414"/>
      <c r="V78" s="422"/>
      <c r="W78" s="414"/>
      <c r="X78" s="414"/>
      <c r="Y78" s="414"/>
      <c r="Z78" s="414"/>
      <c r="AA78" s="414"/>
      <c r="AB78" s="414"/>
      <c r="AC78" s="414"/>
      <c r="AD78" s="414"/>
      <c r="AE78" s="414"/>
      <c r="AF78" s="414"/>
    </row>
    <row r="79" spans="1:34" ht="24" customHeight="1">
      <c r="A79" s="423"/>
    </row>
    <row r="80" spans="1:34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</sheetData>
  <mergeCells count="45">
    <mergeCell ref="H15:K15"/>
    <mergeCell ref="A1:M1"/>
    <mergeCell ref="A2:M2"/>
    <mergeCell ref="C4:G4"/>
    <mergeCell ref="H4:K5"/>
    <mergeCell ref="L4:L5"/>
    <mergeCell ref="H6:I7"/>
    <mergeCell ref="J6:K6"/>
    <mergeCell ref="H9:I9"/>
    <mergeCell ref="H10:I10"/>
    <mergeCell ref="H12:K12"/>
    <mergeCell ref="H13:K13"/>
    <mergeCell ref="H14:K14"/>
    <mergeCell ref="H24:K24"/>
    <mergeCell ref="H25:K25"/>
    <mergeCell ref="H28:K28"/>
    <mergeCell ref="H29:K29"/>
    <mergeCell ref="H30:K30"/>
    <mergeCell ref="H17:K17"/>
    <mergeCell ref="H18:K18"/>
    <mergeCell ref="H19:K19"/>
    <mergeCell ref="H20:K20"/>
    <mergeCell ref="H23:K23"/>
    <mergeCell ref="AI32:AJ32"/>
    <mergeCell ref="H57:K57"/>
    <mergeCell ref="H34:K34"/>
    <mergeCell ref="H35:K35"/>
    <mergeCell ref="H39:K39"/>
    <mergeCell ref="H40:K40"/>
    <mergeCell ref="H41:K41"/>
    <mergeCell ref="H43:K43"/>
    <mergeCell ref="H44:K44"/>
    <mergeCell ref="H45:K45"/>
    <mergeCell ref="H50:K50"/>
    <mergeCell ref="H51:K51"/>
    <mergeCell ref="H52:K52"/>
    <mergeCell ref="H33:K33"/>
    <mergeCell ref="H72:K72"/>
    <mergeCell ref="H73:K73"/>
    <mergeCell ref="H58:K58"/>
    <mergeCell ref="H61:K61"/>
    <mergeCell ref="H62:K62"/>
    <mergeCell ref="H63:K63"/>
    <mergeCell ref="H66:K66"/>
    <mergeCell ref="H71:K71"/>
  </mergeCells>
  <printOptions horizontalCentered="1"/>
  <pageMargins left="0.7" right="0.7" top="0.75" bottom="0.75" header="0.3" footer="0.3"/>
  <pageSetup paperSize="9" scale="59" orientation="landscape" r:id="rId1"/>
  <headerFooter scaleWithDoc="0">
    <oddHeader>&amp;R&amp;"TH SarabunPSK,Regular"&amp;16&amp;P</oddHeader>
  </headerFooter>
  <rowBreaks count="2" manualBreakCount="2">
    <brk id="22" max="12" man="1"/>
    <brk id="49" max="12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N80"/>
  <sheetViews>
    <sheetView view="pageBreakPreview" zoomScaleNormal="90" zoomScaleSheetLayoutView="100" zoomScalePageLayoutView="50" workbookViewId="0">
      <selection activeCell="H9" sqref="H9:K9"/>
    </sheetView>
  </sheetViews>
  <sheetFormatPr defaultColWidth="9.140625" defaultRowHeight="21"/>
  <cols>
    <col min="1" max="1" width="38" style="368" customWidth="1"/>
    <col min="2" max="2" width="11.5703125" style="368" customWidth="1"/>
    <col min="3" max="3" width="9.85546875" style="368" customWidth="1"/>
    <col min="4" max="7" width="9.28515625" style="368" customWidth="1"/>
    <col min="8" max="8" width="9.85546875" style="368" customWidth="1"/>
    <col min="9" max="9" width="16.140625" style="368" customWidth="1"/>
    <col min="10" max="10" width="16.5703125" style="368" customWidth="1"/>
    <col min="11" max="11" width="34.140625" style="368" customWidth="1"/>
    <col min="12" max="12" width="11.140625" style="421" customWidth="1"/>
    <col min="13" max="13" width="11.140625" style="368" customWidth="1"/>
    <col min="14" max="16" width="9.140625" style="368"/>
    <col min="17" max="17" width="12.42578125" style="368" bestFit="1" customWidth="1"/>
    <col min="18" max="20" width="11.5703125" style="368" bestFit="1" customWidth="1"/>
    <col min="21" max="21" width="9.140625" style="368"/>
    <col min="22" max="30" width="11.5703125" style="368" bestFit="1" customWidth="1"/>
    <col min="31" max="31" width="17.7109375" style="368" customWidth="1"/>
    <col min="32" max="32" width="9.28515625" style="368" bestFit="1" customWidth="1"/>
    <col min="33" max="33" width="11.28515625" style="368" bestFit="1" customWidth="1"/>
    <col min="34" max="35" width="9.140625" style="368"/>
    <col min="36" max="36" width="86.140625" style="368" bestFit="1" customWidth="1"/>
    <col min="37" max="37" width="19.28515625" style="368" bestFit="1" customWidth="1"/>
    <col min="38" max="38" width="15" style="368" bestFit="1" customWidth="1"/>
    <col min="39" max="39" width="10.42578125" style="368" bestFit="1" customWidth="1"/>
    <col min="40" max="16384" width="9.140625" style="368"/>
  </cols>
  <sheetData>
    <row r="1" spans="1:40" ht="24" customHeight="1">
      <c r="A1" s="752" t="s">
        <v>0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2" spans="1:40" ht="24" customHeight="1">
      <c r="A2" s="752" t="s">
        <v>334</v>
      </c>
      <c r="B2" s="753"/>
      <c r="C2" s="753"/>
      <c r="D2" s="753"/>
      <c r="E2" s="753"/>
      <c r="F2" s="753"/>
      <c r="G2" s="753"/>
      <c r="H2" s="753"/>
      <c r="I2" s="753"/>
      <c r="J2" s="753"/>
      <c r="K2" s="753"/>
      <c r="L2" s="753"/>
      <c r="M2" s="753"/>
    </row>
    <row r="3" spans="1:40" ht="24" customHeight="1">
      <c r="A3" s="369" t="s">
        <v>373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72" t="s">
        <v>237</v>
      </c>
    </row>
    <row r="4" spans="1:40" s="375" customFormat="1" ht="24" customHeight="1">
      <c r="A4" s="373" t="s">
        <v>1</v>
      </c>
      <c r="B4" s="373" t="s">
        <v>2</v>
      </c>
      <c r="C4" s="754" t="s">
        <v>3</v>
      </c>
      <c r="D4" s="754"/>
      <c r="E4" s="754"/>
      <c r="F4" s="754"/>
      <c r="G4" s="754"/>
      <c r="H4" s="755" t="s">
        <v>4</v>
      </c>
      <c r="I4" s="756"/>
      <c r="J4" s="756"/>
      <c r="K4" s="757"/>
      <c r="L4" s="776" t="s">
        <v>5</v>
      </c>
      <c r="M4" s="374" t="s">
        <v>6</v>
      </c>
    </row>
    <row r="5" spans="1:40" s="375" customFormat="1" ht="24" customHeight="1">
      <c r="A5" s="376" t="s">
        <v>7</v>
      </c>
      <c r="B5" s="376" t="s">
        <v>8</v>
      </c>
      <c r="C5" s="377">
        <v>1</v>
      </c>
      <c r="D5" s="377">
        <v>2</v>
      </c>
      <c r="E5" s="377">
        <v>3</v>
      </c>
      <c r="F5" s="377">
        <v>4</v>
      </c>
      <c r="G5" s="377">
        <v>5</v>
      </c>
      <c r="H5" s="758"/>
      <c r="I5" s="759"/>
      <c r="J5" s="759"/>
      <c r="K5" s="760"/>
      <c r="L5" s="776"/>
      <c r="M5" s="378" t="s">
        <v>9</v>
      </c>
    </row>
    <row r="6" spans="1:40" ht="24" customHeight="1">
      <c r="A6" s="379" t="s">
        <v>159</v>
      </c>
      <c r="B6" s="302">
        <v>5.45</v>
      </c>
      <c r="C6" s="506">
        <v>0.65</v>
      </c>
      <c r="D6" s="506">
        <v>0.7</v>
      </c>
      <c r="E6" s="506">
        <v>0.75</v>
      </c>
      <c r="F6" s="506">
        <v>0.8</v>
      </c>
      <c r="G6" s="506">
        <v>0.85</v>
      </c>
      <c r="H6" s="738" t="s">
        <v>203</v>
      </c>
      <c r="I6" s="739"/>
      <c r="J6" s="739"/>
      <c r="K6" s="740"/>
      <c r="L6" s="303">
        <v>4.8520000000000003</v>
      </c>
      <c r="M6" s="380">
        <f>IF(L6=0,"-",ROUND(L6*B6/B$71,4))</f>
        <v>0.31619999999999998</v>
      </c>
    </row>
    <row r="7" spans="1:40" ht="24" customHeight="1">
      <c r="A7" s="381" t="s">
        <v>144</v>
      </c>
      <c r="B7" s="382"/>
      <c r="C7" s="383"/>
      <c r="D7" s="383"/>
      <c r="E7" s="383"/>
      <c r="F7" s="383"/>
      <c r="G7" s="383"/>
      <c r="H7" s="762" t="s">
        <v>365</v>
      </c>
      <c r="I7" s="763"/>
      <c r="J7" s="763"/>
      <c r="K7" s="764"/>
      <c r="L7" s="384"/>
      <c r="M7" s="385"/>
      <c r="N7" s="375" t="s">
        <v>238</v>
      </c>
      <c r="O7" s="386" t="s">
        <v>164</v>
      </c>
      <c r="P7" s="375" t="s">
        <v>165</v>
      </c>
      <c r="Q7" s="375" t="s">
        <v>166</v>
      </c>
      <c r="R7" s="386" t="s">
        <v>167</v>
      </c>
      <c r="S7" s="386" t="s">
        <v>168</v>
      </c>
      <c r="T7" s="386" t="s">
        <v>169</v>
      </c>
      <c r="U7" s="386" t="s">
        <v>170</v>
      </c>
      <c r="V7" s="386" t="s">
        <v>171</v>
      </c>
      <c r="W7" s="375" t="s">
        <v>172</v>
      </c>
      <c r="X7" s="386" t="s">
        <v>173</v>
      </c>
      <c r="Y7" s="386" t="s">
        <v>174</v>
      </c>
      <c r="Z7" s="375" t="s">
        <v>175</v>
      </c>
      <c r="AA7" s="386" t="s">
        <v>176</v>
      </c>
      <c r="AB7" s="386" t="s">
        <v>178</v>
      </c>
      <c r="AC7" s="375" t="s">
        <v>192</v>
      </c>
      <c r="AD7" s="375" t="s">
        <v>239</v>
      </c>
      <c r="AE7" s="375" t="s">
        <v>240</v>
      </c>
    </row>
    <row r="8" spans="1:40" ht="24" customHeight="1">
      <c r="A8" s="381"/>
      <c r="B8" s="382"/>
      <c r="C8" s="383"/>
      <c r="D8" s="383"/>
      <c r="E8" s="383"/>
      <c r="F8" s="383"/>
      <c r="G8" s="383"/>
      <c r="H8" s="762" t="s">
        <v>204</v>
      </c>
      <c r="I8" s="763"/>
      <c r="J8" s="763"/>
      <c r="K8" s="764"/>
      <c r="L8" s="384"/>
      <c r="M8" s="385"/>
      <c r="AI8" s="444" t="s">
        <v>241</v>
      </c>
      <c r="AJ8" s="388" t="s">
        <v>14</v>
      </c>
      <c r="AK8" s="389" t="s">
        <v>242</v>
      </c>
      <c r="AL8" s="390" t="s">
        <v>243</v>
      </c>
      <c r="AM8" s="391"/>
      <c r="AN8" s="391" t="s">
        <v>244</v>
      </c>
    </row>
    <row r="9" spans="1:40" ht="24" customHeight="1">
      <c r="A9" s="381"/>
      <c r="B9" s="382"/>
      <c r="C9" s="383"/>
      <c r="D9" s="383"/>
      <c r="E9" s="383"/>
      <c r="F9" s="383"/>
      <c r="G9" s="383"/>
      <c r="H9" s="762" t="s">
        <v>205</v>
      </c>
      <c r="I9" s="763"/>
      <c r="J9" s="763"/>
      <c r="K9" s="764"/>
      <c r="L9" s="384"/>
      <c r="M9" s="385"/>
      <c r="N9" s="392">
        <f>SUM(O9:AB9)</f>
        <v>2754.9592476500002</v>
      </c>
      <c r="O9" s="393">
        <v>63.05</v>
      </c>
      <c r="P9" s="393">
        <v>363.36509999999998</v>
      </c>
      <c r="Q9" s="393">
        <v>157.61449099999999</v>
      </c>
      <c r="R9" s="393">
        <v>122.296868</v>
      </c>
      <c r="S9" s="393"/>
      <c r="T9" s="393">
        <v>687.09411299999999</v>
      </c>
      <c r="U9" s="394">
        <v>432.493359</v>
      </c>
      <c r="V9" s="393"/>
      <c r="W9" s="393">
        <v>567.82270000000005</v>
      </c>
      <c r="X9" s="393">
        <v>128.228759</v>
      </c>
      <c r="Y9" s="393">
        <v>39.988</v>
      </c>
      <c r="AA9" s="326">
        <v>103.4341</v>
      </c>
      <c r="AB9" s="393">
        <v>89.571757649999995</v>
      </c>
      <c r="AC9" s="368">
        <f>SUM(O9:AB9)</f>
        <v>2754.9592476500002</v>
      </c>
      <c r="AE9" s="368">
        <f>AC9</f>
        <v>2754.9592476500002</v>
      </c>
      <c r="AI9" s="395">
        <v>1</v>
      </c>
      <c r="AJ9" s="396" t="s">
        <v>245</v>
      </c>
      <c r="AK9" s="397">
        <v>172677500</v>
      </c>
      <c r="AL9" s="398">
        <v>13.36</v>
      </c>
      <c r="AM9" s="399" t="e">
        <f t="shared" ref="AM9:AM25" si="0">AL9*AK9/$C$13</f>
        <v>#DIV/0!</v>
      </c>
      <c r="AN9" s="399">
        <f>AL9*AK9/AK9</f>
        <v>13.36</v>
      </c>
    </row>
    <row r="10" spans="1:40" ht="24" customHeight="1">
      <c r="A10" s="381"/>
      <c r="B10" s="382"/>
      <c r="C10" s="383"/>
      <c r="D10" s="383"/>
      <c r="E10" s="383"/>
      <c r="F10" s="383"/>
      <c r="G10" s="383"/>
      <c r="I10" s="400" t="s">
        <v>54</v>
      </c>
      <c r="J10" s="472">
        <v>84.26</v>
      </c>
      <c r="K10" s="573" t="s">
        <v>51</v>
      </c>
      <c r="L10" s="384"/>
      <c r="M10" s="385"/>
      <c r="N10" s="368">
        <f>(O10*O9+P10*P9+Q10*Q9+R10*R9+S10*S9+T10*T9+U10*U9+V10*V9+W10*W9+X10*X9+Y10*Y9+Z10*Z9+AA10*AA9+AB10*AB9)/N9</f>
        <v>84.754654906071266</v>
      </c>
      <c r="O10" s="393">
        <v>100</v>
      </c>
      <c r="P10" s="393">
        <v>63.46</v>
      </c>
      <c r="Q10" s="393">
        <v>51.39</v>
      </c>
      <c r="R10" s="393">
        <v>100</v>
      </c>
      <c r="S10" s="393"/>
      <c r="T10" s="393">
        <v>100</v>
      </c>
      <c r="U10" s="393">
        <v>98.85</v>
      </c>
      <c r="V10" s="393"/>
      <c r="W10" s="401">
        <v>77.599999999999994</v>
      </c>
      <c r="X10" s="393">
        <v>66.87</v>
      </c>
      <c r="Y10" s="393">
        <v>100</v>
      </c>
      <c r="AA10" s="393">
        <v>71.75</v>
      </c>
      <c r="AB10" s="393">
        <v>92.47</v>
      </c>
      <c r="AC10" s="402">
        <f>J10</f>
        <v>84.26</v>
      </c>
      <c r="AE10" s="402">
        <f>J10</f>
        <v>84.26</v>
      </c>
      <c r="AI10" s="395">
        <v>2</v>
      </c>
      <c r="AJ10" s="396" t="s">
        <v>246</v>
      </c>
      <c r="AK10" s="397">
        <v>525283600</v>
      </c>
      <c r="AL10" s="398">
        <v>35.229999999999997</v>
      </c>
      <c r="AM10" s="399" t="e">
        <f t="shared" si="0"/>
        <v>#DIV/0!</v>
      </c>
      <c r="AN10" s="399">
        <f t="shared" ref="AN10:AN23" si="1">(AL10*AK10/AK10)</f>
        <v>35.229999999999997</v>
      </c>
    </row>
    <row r="11" spans="1:40" ht="24" customHeight="1">
      <c r="A11" s="507"/>
      <c r="B11" s="508"/>
      <c r="C11" s="509"/>
      <c r="D11" s="509"/>
      <c r="E11" s="509"/>
      <c r="F11" s="509"/>
      <c r="G11" s="509"/>
      <c r="H11" s="768"/>
      <c r="I11" s="769"/>
      <c r="J11" s="769"/>
      <c r="K11" s="770"/>
      <c r="L11" s="510"/>
      <c r="M11" s="376"/>
      <c r="AE11" s="368" t="s">
        <v>20</v>
      </c>
      <c r="AI11" s="395"/>
      <c r="AJ11" s="396" t="s">
        <v>247</v>
      </c>
      <c r="AK11" s="397">
        <v>63771100</v>
      </c>
      <c r="AL11" s="398">
        <v>0.28000000000000003</v>
      </c>
      <c r="AM11" s="399" t="e">
        <f t="shared" si="0"/>
        <v>#DIV/0!</v>
      </c>
      <c r="AN11" s="399"/>
    </row>
    <row r="12" spans="1:40" ht="24" customHeight="1">
      <c r="A12" s="379" t="s">
        <v>145</v>
      </c>
      <c r="B12" s="302">
        <v>16.36</v>
      </c>
      <c r="C12" s="506">
        <v>0.69</v>
      </c>
      <c r="D12" s="506">
        <v>0.72</v>
      </c>
      <c r="E12" s="506">
        <v>0.75</v>
      </c>
      <c r="F12" s="506">
        <v>0.78</v>
      </c>
      <c r="G12" s="506">
        <v>0.81</v>
      </c>
      <c r="H12" s="739" t="s">
        <v>206</v>
      </c>
      <c r="I12" s="739"/>
      <c r="J12" s="739"/>
      <c r="K12" s="740"/>
      <c r="L12" s="303">
        <v>5</v>
      </c>
      <c r="M12" s="380">
        <f>IF(L12=0,"-",ROUND(L12*B12/B$71,4))</f>
        <v>0.97799999999999998</v>
      </c>
      <c r="P12" s="368" t="s">
        <v>177</v>
      </c>
      <c r="Q12" s="368">
        <v>88227925</v>
      </c>
      <c r="R12" s="368">
        <v>454314777</v>
      </c>
      <c r="S12" s="368">
        <v>163703662</v>
      </c>
      <c r="T12" s="368">
        <v>340069114</v>
      </c>
      <c r="V12" s="368">
        <v>145609485</v>
      </c>
      <c r="W12" s="368">
        <v>376474997</v>
      </c>
      <c r="X12" s="368">
        <v>154664423</v>
      </c>
      <c r="Y12" s="368">
        <v>364453100</v>
      </c>
      <c r="Z12" s="368">
        <v>301496841</v>
      </c>
      <c r="AA12" s="368">
        <v>117859601</v>
      </c>
      <c r="AB12" s="368">
        <v>103922683</v>
      </c>
      <c r="AC12" s="368">
        <v>110709100</v>
      </c>
      <c r="AD12" s="368">
        <v>396724840</v>
      </c>
      <c r="AE12" s="368">
        <f>Q12+R12+S12+T12+V12+W12+X12+Y12+Z12+AA12+AB12+AC12+AD12</f>
        <v>3118230548</v>
      </c>
      <c r="AI12" s="395"/>
      <c r="AJ12" s="396" t="s">
        <v>248</v>
      </c>
      <c r="AK12" s="397">
        <v>85121200</v>
      </c>
      <c r="AL12" s="398">
        <v>2.0499999999999998</v>
      </c>
      <c r="AM12" s="399" t="e">
        <f t="shared" si="0"/>
        <v>#DIV/0!</v>
      </c>
      <c r="AN12" s="399"/>
    </row>
    <row r="13" spans="1:40" ht="24" customHeight="1">
      <c r="A13" s="381" t="s">
        <v>21</v>
      </c>
      <c r="B13" s="382"/>
      <c r="C13" s="383"/>
      <c r="D13" s="383"/>
      <c r="E13" s="383"/>
      <c r="F13" s="383"/>
      <c r="G13" s="383"/>
      <c r="H13" s="762" t="s">
        <v>207</v>
      </c>
      <c r="I13" s="763"/>
      <c r="J13" s="763"/>
      <c r="K13" s="764"/>
      <c r="L13" s="384"/>
      <c r="M13" s="385"/>
      <c r="P13" s="368" t="s">
        <v>179</v>
      </c>
      <c r="Q13" s="368">
        <v>62767727</v>
      </c>
      <c r="R13" s="368">
        <v>213672936</v>
      </c>
      <c r="S13" s="368">
        <v>25795924</v>
      </c>
      <c r="T13" s="368">
        <v>114556854</v>
      </c>
      <c r="V13" s="368">
        <v>128932639</v>
      </c>
      <c r="W13" s="368">
        <v>336587666</v>
      </c>
      <c r="X13" s="368">
        <v>52373847</v>
      </c>
      <c r="Y13" s="368">
        <v>90762837</v>
      </c>
      <c r="Z13" s="368">
        <v>241819557</v>
      </c>
      <c r="AA13" s="368">
        <v>53872593</v>
      </c>
      <c r="AB13" s="368">
        <v>20156387</v>
      </c>
      <c r="AC13" s="368">
        <v>73919342</v>
      </c>
      <c r="AD13" s="368">
        <v>64957443</v>
      </c>
      <c r="AE13" s="403">
        <f>Q13+R13+S13+T13+V13+W13+X13+Y13+Z13+AA13+AB13+AC13+AD13</f>
        <v>1480175752</v>
      </c>
      <c r="AI13" s="395"/>
      <c r="AJ13" s="396" t="s">
        <v>249</v>
      </c>
      <c r="AK13" s="397">
        <v>115875000</v>
      </c>
      <c r="AL13" s="398">
        <v>0</v>
      </c>
      <c r="AM13" s="399" t="e">
        <f t="shared" si="0"/>
        <v>#DIV/0!</v>
      </c>
      <c r="AN13" s="399"/>
    </row>
    <row r="14" spans="1:40" ht="24" customHeight="1">
      <c r="A14" s="381"/>
      <c r="B14" s="382"/>
      <c r="C14" s="383"/>
      <c r="D14" s="383"/>
      <c r="E14" s="383"/>
      <c r="F14" s="383"/>
      <c r="G14" s="383"/>
      <c r="H14" s="762" t="s">
        <v>299</v>
      </c>
      <c r="I14" s="763"/>
      <c r="J14" s="763"/>
      <c r="K14" s="764"/>
      <c r="L14" s="384"/>
      <c r="M14" s="385"/>
      <c r="P14" s="368" t="s">
        <v>194</v>
      </c>
      <c r="Q14" s="368">
        <v>19.71</v>
      </c>
      <c r="R14" s="368">
        <v>38.619999999999997</v>
      </c>
      <c r="S14" s="368">
        <v>5.8</v>
      </c>
      <c r="T14" s="368">
        <v>21.95</v>
      </c>
      <c r="AE14" s="404">
        <f>(AE13/AE12)*100</f>
        <v>47.468451393030229</v>
      </c>
      <c r="AI14" s="395">
        <v>4</v>
      </c>
      <c r="AJ14" s="396" t="s">
        <v>250</v>
      </c>
      <c r="AK14" s="397">
        <v>1039701600</v>
      </c>
      <c r="AL14" s="398">
        <v>5.62</v>
      </c>
      <c r="AM14" s="399" t="e">
        <f t="shared" si="0"/>
        <v>#DIV/0!</v>
      </c>
      <c r="AN14" s="399">
        <f t="shared" si="1"/>
        <v>5.62</v>
      </c>
    </row>
    <row r="15" spans="1:40" ht="24" customHeight="1">
      <c r="A15" s="381"/>
      <c r="B15" s="382"/>
      <c r="C15" s="383"/>
      <c r="D15" s="383"/>
      <c r="E15" s="383"/>
      <c r="F15" s="383"/>
      <c r="G15" s="383"/>
      <c r="H15" s="577"/>
      <c r="I15" s="400" t="s">
        <v>199</v>
      </c>
      <c r="J15" s="472">
        <v>99.76</v>
      </c>
      <c r="K15" s="573" t="s">
        <v>51</v>
      </c>
      <c r="L15" s="384"/>
      <c r="M15" s="385"/>
      <c r="Q15" s="368">
        <f>(Q12*Q14)/AE12</f>
        <v>0.55767922704283635</v>
      </c>
      <c r="R15" s="368">
        <f>(R12*R14)/AE12</f>
        <v>5.6267926369310901</v>
      </c>
      <c r="S15" s="368">
        <f>(S12*S14)/AE12</f>
        <v>0.3044935982071586</v>
      </c>
      <c r="T15" s="368">
        <f>(T12*T14)/AE12</f>
        <v>2.3938310325026038</v>
      </c>
      <c r="V15" s="368">
        <f>(V12*V14)/AE12</f>
        <v>0</v>
      </c>
      <c r="W15" s="368">
        <f>(W12*W14)/AE12</f>
        <v>0</v>
      </c>
      <c r="X15" s="368">
        <f>(X12*X14)/AE12</f>
        <v>0</v>
      </c>
      <c r="Y15" s="368">
        <f>(Y12*Y14)/AE12</f>
        <v>0</v>
      </c>
      <c r="Z15" s="368">
        <f>(Z12*Z14)/AE12</f>
        <v>0</v>
      </c>
      <c r="AA15" s="368">
        <f>(AA12*AA14)/AE12</f>
        <v>0</v>
      </c>
      <c r="AB15" s="368">
        <f>(AB12*AB14)/AE12</f>
        <v>0</v>
      </c>
      <c r="AC15" s="368">
        <f>(AC12*AC14)/AE12</f>
        <v>0</v>
      </c>
      <c r="AD15" s="368">
        <f>(AD12*AD14)/AE12</f>
        <v>0</v>
      </c>
      <c r="AE15" s="368">
        <f>(Q15+R15+S15+T15+V15+W15+X15+Y15+Z15+AA15+AB15+AC15+AD15)/AE12</f>
        <v>2.8486657281903096E-9</v>
      </c>
      <c r="AI15" s="395">
        <v>5</v>
      </c>
      <c r="AJ15" s="396" t="s">
        <v>251</v>
      </c>
      <c r="AK15" s="397">
        <v>636679600</v>
      </c>
      <c r="AL15" s="398">
        <v>13.07</v>
      </c>
      <c r="AM15" s="399" t="e">
        <f t="shared" si="0"/>
        <v>#DIV/0!</v>
      </c>
      <c r="AN15" s="399">
        <f t="shared" si="1"/>
        <v>13.07</v>
      </c>
    </row>
    <row r="16" spans="1:40" ht="24" customHeight="1">
      <c r="A16" s="507"/>
      <c r="B16" s="508"/>
      <c r="C16" s="509"/>
      <c r="D16" s="509"/>
      <c r="E16" s="509"/>
      <c r="F16" s="509"/>
      <c r="G16" s="509"/>
      <c r="H16" s="511"/>
      <c r="I16" s="512"/>
      <c r="J16" s="513"/>
      <c r="K16" s="514"/>
      <c r="L16" s="510"/>
      <c r="M16" s="376"/>
      <c r="S16" s="368">
        <v>278676</v>
      </c>
      <c r="AI16" s="395">
        <v>8</v>
      </c>
      <c r="AJ16" s="396" t="s">
        <v>252</v>
      </c>
      <c r="AK16" s="397">
        <v>168866326</v>
      </c>
      <c r="AL16" s="398">
        <v>25.53</v>
      </c>
      <c r="AM16" s="399" t="e">
        <f t="shared" si="0"/>
        <v>#DIV/0!</v>
      </c>
      <c r="AN16" s="399">
        <f t="shared" si="1"/>
        <v>25.529999999999998</v>
      </c>
    </row>
    <row r="17" spans="1:40" ht="24" customHeight="1">
      <c r="A17" s="379" t="s">
        <v>146</v>
      </c>
      <c r="B17" s="302">
        <v>5.45</v>
      </c>
      <c r="C17" s="405">
        <v>0.92</v>
      </c>
      <c r="D17" s="405">
        <v>0.94</v>
      </c>
      <c r="E17" s="405">
        <v>0.96</v>
      </c>
      <c r="F17" s="405">
        <v>0.98</v>
      </c>
      <c r="G17" s="405">
        <v>1</v>
      </c>
      <c r="H17" s="738" t="s">
        <v>312</v>
      </c>
      <c r="I17" s="739"/>
      <c r="J17" s="739"/>
      <c r="K17" s="740"/>
      <c r="L17" s="303">
        <v>1.155</v>
      </c>
      <c r="M17" s="380">
        <f>IF(L17=0,"-",ROUND(L17*B17/B$71,4))</f>
        <v>7.5300000000000006E-2</v>
      </c>
      <c r="S17" s="368">
        <v>6516821</v>
      </c>
      <c r="AI17" s="395">
        <v>9</v>
      </c>
      <c r="AJ17" s="396" t="s">
        <v>253</v>
      </c>
      <c r="AK17" s="397">
        <v>189999700</v>
      </c>
      <c r="AL17" s="398">
        <v>3.53</v>
      </c>
      <c r="AM17" s="399" t="e">
        <f t="shared" si="0"/>
        <v>#DIV/0!</v>
      </c>
      <c r="AN17" s="399">
        <f>(AL17*AK17/(AK17+AK18+AK19))+(AL18*AK18/(AK17+AK18+AK19))+(AL19*AK19/(AK17+AK18+AK19))</f>
        <v>17.929695702793666</v>
      </c>
    </row>
    <row r="18" spans="1:40" ht="24" customHeight="1">
      <c r="A18" s="381" t="s">
        <v>23</v>
      </c>
      <c r="B18" s="382"/>
      <c r="C18" s="383"/>
      <c r="D18" s="383"/>
      <c r="E18" s="383"/>
      <c r="F18" s="383"/>
      <c r="G18" s="383"/>
      <c r="H18" s="762" t="s">
        <v>313</v>
      </c>
      <c r="I18" s="763"/>
      <c r="J18" s="763"/>
      <c r="K18" s="764"/>
      <c r="L18" s="384"/>
      <c r="M18" s="385"/>
      <c r="S18" s="368">
        <v>59800</v>
      </c>
      <c r="AI18" s="395"/>
      <c r="AJ18" s="396" t="s">
        <v>254</v>
      </c>
      <c r="AK18" s="397">
        <v>93741300</v>
      </c>
      <c r="AL18" s="398">
        <v>63.29</v>
      </c>
      <c r="AM18" s="399" t="e">
        <f t="shared" si="0"/>
        <v>#DIV/0!</v>
      </c>
      <c r="AN18" s="399"/>
    </row>
    <row r="19" spans="1:40" ht="24" customHeight="1">
      <c r="A19" s="381" t="s">
        <v>24</v>
      </c>
      <c r="B19" s="382"/>
      <c r="C19" s="383"/>
      <c r="D19" s="383"/>
      <c r="E19" s="383"/>
      <c r="F19" s="383"/>
      <c r="G19" s="383"/>
      <c r="H19" s="762" t="s">
        <v>272</v>
      </c>
      <c r="I19" s="763"/>
      <c r="J19" s="763"/>
      <c r="K19" s="764"/>
      <c r="L19" s="384"/>
      <c r="M19" s="385"/>
      <c r="S19" s="368">
        <v>709266</v>
      </c>
      <c r="AI19" s="395"/>
      <c r="AJ19" s="396" t="s">
        <v>255</v>
      </c>
      <c r="AK19" s="397">
        <v>84563400</v>
      </c>
      <c r="AL19" s="398">
        <v>0</v>
      </c>
      <c r="AM19" s="399" t="e">
        <f t="shared" si="0"/>
        <v>#DIV/0!</v>
      </c>
      <c r="AN19" s="399"/>
    </row>
    <row r="20" spans="1:40" ht="24" customHeight="1">
      <c r="A20" s="381"/>
      <c r="B20" s="382"/>
      <c r="C20" s="383"/>
      <c r="D20" s="383"/>
      <c r="E20" s="383"/>
      <c r="F20" s="383"/>
      <c r="G20" s="383"/>
      <c r="H20" s="577" t="s">
        <v>200</v>
      </c>
      <c r="I20" s="400" t="s">
        <v>56</v>
      </c>
      <c r="J20" s="472">
        <v>92.31</v>
      </c>
      <c r="K20" s="573" t="s">
        <v>51</v>
      </c>
      <c r="L20" s="384"/>
      <c r="M20" s="385"/>
      <c r="S20" s="368">
        <v>10951834</v>
      </c>
      <c r="W20" s="368">
        <v>304044</v>
      </c>
      <c r="X20" s="368">
        <v>12443540</v>
      </c>
      <c r="Z20" s="368">
        <v>12690293</v>
      </c>
      <c r="AD20" s="368">
        <v>16191016</v>
      </c>
      <c r="AI20" s="395">
        <v>10</v>
      </c>
      <c r="AJ20" s="396" t="s">
        <v>256</v>
      </c>
      <c r="AK20" s="397">
        <v>305794900</v>
      </c>
      <c r="AL20" s="398">
        <v>18.23</v>
      </c>
      <c r="AM20" s="399" t="e">
        <f t="shared" si="0"/>
        <v>#DIV/0!</v>
      </c>
      <c r="AN20" s="399">
        <f>(AL20*AK20/AK20)</f>
        <v>18.23</v>
      </c>
    </row>
    <row r="21" spans="1:40" ht="24" customHeight="1">
      <c r="A21" s="381"/>
      <c r="B21" s="382"/>
      <c r="C21" s="383"/>
      <c r="D21" s="383"/>
      <c r="E21" s="383"/>
      <c r="F21" s="383"/>
      <c r="G21" s="383"/>
      <c r="H21" s="424"/>
      <c r="I21" s="425"/>
      <c r="J21" s="425"/>
      <c r="K21" s="426"/>
      <c r="L21" s="384"/>
      <c r="M21" s="385"/>
      <c r="AI21" s="395"/>
      <c r="AJ21" s="396" t="s">
        <v>257</v>
      </c>
      <c r="AK21" s="397">
        <v>391412000</v>
      </c>
      <c r="AL21" s="398">
        <v>0</v>
      </c>
      <c r="AM21" s="399" t="e">
        <f t="shared" si="0"/>
        <v>#DIV/0!</v>
      </c>
      <c r="AN21" s="399"/>
    </row>
    <row r="22" spans="1:40" ht="24" customHeight="1">
      <c r="A22" s="379" t="s">
        <v>147</v>
      </c>
      <c r="B22" s="302">
        <v>5.45</v>
      </c>
      <c r="C22" s="405">
        <v>0.96</v>
      </c>
      <c r="D22" s="405">
        <v>0.97</v>
      </c>
      <c r="E22" s="405">
        <v>0.98</v>
      </c>
      <c r="F22" s="405">
        <v>0.99</v>
      </c>
      <c r="G22" s="405">
        <v>1</v>
      </c>
      <c r="H22" s="738" t="s">
        <v>300</v>
      </c>
      <c r="I22" s="739"/>
      <c r="J22" s="739"/>
      <c r="K22" s="740"/>
      <c r="L22" s="303">
        <v>1</v>
      </c>
      <c r="M22" s="380">
        <f>IF(L22=0,"-",ROUND(L22*B22/B$71,4))</f>
        <v>6.5199999999999994E-2</v>
      </c>
      <c r="Q22" s="368" t="s">
        <v>164</v>
      </c>
      <c r="R22" s="368" t="s">
        <v>165</v>
      </c>
      <c r="S22" s="368" t="s">
        <v>166</v>
      </c>
      <c r="T22" s="368" t="s">
        <v>167</v>
      </c>
      <c r="U22" s="368" t="s">
        <v>168</v>
      </c>
      <c r="V22" s="368" t="s">
        <v>169</v>
      </c>
      <c r="W22" s="368" t="s">
        <v>170</v>
      </c>
      <c r="X22" s="368" t="s">
        <v>171</v>
      </c>
      <c r="Y22" s="368" t="s">
        <v>172</v>
      </c>
      <c r="Z22" s="368" t="s">
        <v>173</v>
      </c>
      <c r="AA22" s="368" t="s">
        <v>174</v>
      </c>
      <c r="AB22" s="368" t="s">
        <v>175</v>
      </c>
      <c r="AC22" s="368" t="s">
        <v>176</v>
      </c>
      <c r="AD22" s="368" t="s">
        <v>178</v>
      </c>
      <c r="AE22" s="368" t="s">
        <v>20</v>
      </c>
      <c r="AI22" s="395"/>
      <c r="AJ22" s="396" t="s">
        <v>258</v>
      </c>
      <c r="AK22" s="397">
        <v>72151000</v>
      </c>
      <c r="AL22" s="398">
        <v>20.47</v>
      </c>
      <c r="AM22" s="399" t="e">
        <f t="shared" si="0"/>
        <v>#DIV/0!</v>
      </c>
      <c r="AN22" s="399"/>
    </row>
    <row r="23" spans="1:40" ht="24" customHeight="1">
      <c r="A23" s="381" t="s">
        <v>26</v>
      </c>
      <c r="B23" s="382"/>
      <c r="C23" s="383"/>
      <c r="D23" s="383"/>
      <c r="E23" s="383"/>
      <c r="F23" s="383"/>
      <c r="G23" s="383"/>
      <c r="H23" s="765" t="s">
        <v>301</v>
      </c>
      <c r="I23" s="766"/>
      <c r="J23" s="766"/>
      <c r="K23" s="767"/>
      <c r="L23" s="384"/>
      <c r="M23" s="385"/>
      <c r="P23" s="368" t="s">
        <v>179</v>
      </c>
      <c r="Q23" s="368">
        <v>0</v>
      </c>
      <c r="R23" s="368" t="e">
        <f>R25+#REF!</f>
        <v>#REF!</v>
      </c>
      <c r="S23" s="368" t="e">
        <f>S25+#REF!+S26+S27+S28+S29+#REF!+S30</f>
        <v>#REF!</v>
      </c>
      <c r="T23" s="368">
        <v>15621046</v>
      </c>
      <c r="W23" s="368" t="e">
        <f>W25+#REF!</f>
        <v>#REF!</v>
      </c>
      <c r="X23" s="368" t="e">
        <f>X25+#REF!</f>
        <v>#REF!</v>
      </c>
      <c r="Y23" s="368">
        <v>3065219</v>
      </c>
      <c r="Z23" s="368" t="e">
        <f>Z25+#REF!</f>
        <v>#REF!</v>
      </c>
      <c r="AA23" s="368">
        <v>5762411</v>
      </c>
      <c r="AB23" s="368">
        <v>15507983</v>
      </c>
      <c r="AD23" s="368" t="e">
        <f>AD25+#REF!</f>
        <v>#REF!</v>
      </c>
      <c r="AE23" s="368" t="e">
        <f>Q23+R23+S23+T23+W23+X23+Y23+AA23+AB23+AD23</f>
        <v>#REF!</v>
      </c>
      <c r="AF23" s="368" t="e">
        <f>AE23/AE24*100</f>
        <v>#REF!</v>
      </c>
      <c r="AG23" s="368" t="e">
        <f>R23+T23+W23+X23+Y23+Z23+AA23+AB23+AD23</f>
        <v>#REF!</v>
      </c>
      <c r="AH23" s="368" t="e">
        <f>AG23/AG24*100</f>
        <v>#REF!</v>
      </c>
      <c r="AI23" s="395">
        <v>12</v>
      </c>
      <c r="AJ23" s="396" t="s">
        <v>259</v>
      </c>
      <c r="AK23" s="397">
        <v>232129108</v>
      </c>
      <c r="AL23" s="398">
        <v>8.2200000000000006</v>
      </c>
      <c r="AM23" s="399" t="e">
        <f t="shared" si="0"/>
        <v>#DIV/0!</v>
      </c>
      <c r="AN23" s="399">
        <f t="shared" si="1"/>
        <v>8.2200000000000006</v>
      </c>
    </row>
    <row r="24" spans="1:40" ht="24" customHeight="1">
      <c r="A24" s="381"/>
      <c r="B24" s="382"/>
      <c r="C24" s="383"/>
      <c r="D24" s="383"/>
      <c r="E24" s="383"/>
      <c r="F24" s="383"/>
      <c r="G24" s="383"/>
      <c r="H24" s="765" t="s">
        <v>302</v>
      </c>
      <c r="I24" s="766"/>
      <c r="J24" s="766"/>
      <c r="K24" s="767"/>
      <c r="L24" s="384"/>
      <c r="M24" s="385"/>
      <c r="P24" s="368" t="s">
        <v>177</v>
      </c>
      <c r="Q24" s="368">
        <v>0</v>
      </c>
      <c r="R24" s="368" t="e">
        <f>#REF!+R20</f>
        <v>#REF!</v>
      </c>
      <c r="S24" s="368" t="e">
        <f>#REF!+S20+S19+S18+S17+S16+#REF!+#REF!</f>
        <v>#REF!</v>
      </c>
      <c r="T24" s="368">
        <v>31415454</v>
      </c>
      <c r="W24" s="368" t="e">
        <f>#REF!+W20</f>
        <v>#REF!</v>
      </c>
      <c r="X24" s="368" t="e">
        <f>#REF!+X20</f>
        <v>#REF!</v>
      </c>
      <c r="Y24" s="368">
        <v>3065219</v>
      </c>
      <c r="Z24" s="368" t="e">
        <f>#REF!+Z20</f>
        <v>#REF!</v>
      </c>
      <c r="AA24" s="368">
        <v>5836386</v>
      </c>
      <c r="AB24" s="368">
        <v>15507983</v>
      </c>
      <c r="AD24" s="368" t="e">
        <f>#REF!+AD20</f>
        <v>#REF!</v>
      </c>
      <c r="AE24" s="368" t="e">
        <f>Q24+R24+S24+T24+W24+X24+Y24+Z24+AA24+AB24+AD24</f>
        <v>#REF!</v>
      </c>
      <c r="AG24" s="368" t="e">
        <f>R24+T24+W24+X24+Y24+Z24+AA24+AB24</f>
        <v>#REF!</v>
      </c>
      <c r="AI24" s="395">
        <v>13</v>
      </c>
      <c r="AJ24" s="396" t="s">
        <v>260</v>
      </c>
      <c r="AK24" s="397">
        <v>75897000</v>
      </c>
      <c r="AL24" s="398">
        <v>11.23</v>
      </c>
      <c r="AM24" s="399" t="e">
        <f t="shared" si="0"/>
        <v>#DIV/0!</v>
      </c>
      <c r="AN24" s="399" t="e">
        <f>(AL24*AK24/(AK24+AK25+#REF!))+(AL25*AK25/(AK24+AK25+#REF!))+(#REF!*#REF!/(AK24+AK25+#REF!))</f>
        <v>#REF!</v>
      </c>
    </row>
    <row r="25" spans="1:40" ht="24" customHeight="1">
      <c r="A25" s="381"/>
      <c r="B25" s="382"/>
      <c r="C25" s="383"/>
      <c r="D25" s="383"/>
      <c r="E25" s="383"/>
      <c r="F25" s="383"/>
      <c r="G25" s="383"/>
      <c r="H25" s="571"/>
      <c r="I25" s="400" t="s">
        <v>56</v>
      </c>
      <c r="J25" s="472">
        <v>0</v>
      </c>
      <c r="K25" s="573" t="s">
        <v>51</v>
      </c>
      <c r="L25" s="384"/>
      <c r="M25" s="385"/>
      <c r="R25" s="368">
        <v>790426</v>
      </c>
      <c r="S25" s="368">
        <v>5889465</v>
      </c>
      <c r="W25" s="368">
        <v>28318909</v>
      </c>
      <c r="X25" s="368">
        <v>45861247</v>
      </c>
      <c r="Z25" s="368">
        <v>117026964</v>
      </c>
      <c r="AD25" s="368">
        <v>7959313</v>
      </c>
      <c r="AI25" s="395"/>
      <c r="AJ25" s="396" t="s">
        <v>261</v>
      </c>
      <c r="AK25" s="397">
        <v>28808000</v>
      </c>
      <c r="AL25" s="398">
        <v>79.489999999999995</v>
      </c>
      <c r="AM25" s="399" t="e">
        <f t="shared" si="0"/>
        <v>#DIV/0!</v>
      </c>
      <c r="AN25" s="399"/>
    </row>
    <row r="26" spans="1:40" ht="24" customHeight="1">
      <c r="A26" s="507"/>
      <c r="B26" s="508"/>
      <c r="C26" s="509"/>
      <c r="D26" s="509"/>
      <c r="E26" s="509"/>
      <c r="F26" s="509"/>
      <c r="G26" s="509"/>
      <c r="H26" s="511"/>
      <c r="I26" s="587"/>
      <c r="J26" s="587"/>
      <c r="K26" s="588"/>
      <c r="L26" s="510"/>
      <c r="M26" s="376"/>
      <c r="S26" s="368">
        <v>673915</v>
      </c>
      <c r="AI26" s="771" t="s">
        <v>20</v>
      </c>
      <c r="AJ26" s="772"/>
      <c r="AK26" s="408">
        <f>SUM(AK9:AK25)</f>
        <v>4282472334</v>
      </c>
      <c r="AL26" s="409" t="e">
        <f>SUM(AM9:AM25)</f>
        <v>#DIV/0!</v>
      </c>
      <c r="AM26" s="399"/>
      <c r="AN26" s="399"/>
    </row>
    <row r="27" spans="1:40" ht="24" customHeight="1">
      <c r="A27" s="379" t="s">
        <v>148</v>
      </c>
      <c r="B27" s="302">
        <v>5.45</v>
      </c>
      <c r="C27" s="405">
        <v>0.96</v>
      </c>
      <c r="D27" s="405">
        <v>0.97</v>
      </c>
      <c r="E27" s="405">
        <v>0.98</v>
      </c>
      <c r="F27" s="405">
        <v>0.99</v>
      </c>
      <c r="G27" s="405">
        <v>1</v>
      </c>
      <c r="H27" s="779" t="s">
        <v>323</v>
      </c>
      <c r="I27" s="780"/>
      <c r="J27" s="780"/>
      <c r="K27" s="781"/>
      <c r="L27" s="303">
        <v>5</v>
      </c>
      <c r="M27" s="380">
        <f>IF(L27=0,"-",ROUND(L27*B27/B$71,4))</f>
        <v>0.32579999999999998</v>
      </c>
      <c r="S27" s="368">
        <v>59800</v>
      </c>
      <c r="AD27" s="368">
        <v>759313</v>
      </c>
      <c r="AI27" s="430"/>
      <c r="AJ27" s="431"/>
      <c r="AK27" s="432"/>
      <c r="AL27" s="433"/>
      <c r="AM27" s="434"/>
      <c r="AN27" s="434"/>
    </row>
    <row r="28" spans="1:40" ht="24" customHeight="1">
      <c r="A28" s="381" t="s">
        <v>28</v>
      </c>
      <c r="B28" s="382"/>
      <c r="C28" s="383"/>
      <c r="D28" s="383"/>
      <c r="E28" s="383"/>
      <c r="F28" s="383"/>
      <c r="G28" s="383"/>
      <c r="H28" s="762" t="s">
        <v>324</v>
      </c>
      <c r="I28" s="763"/>
      <c r="J28" s="763"/>
      <c r="K28" s="764"/>
      <c r="L28" s="384"/>
      <c r="M28" s="385"/>
      <c r="S28" s="368">
        <v>921324</v>
      </c>
      <c r="AI28" s="430"/>
      <c r="AJ28" s="431"/>
      <c r="AK28" s="432"/>
      <c r="AL28" s="433"/>
      <c r="AM28" s="434"/>
      <c r="AN28" s="434"/>
    </row>
    <row r="29" spans="1:40" ht="24" customHeight="1">
      <c r="A29" s="381" t="s">
        <v>60</v>
      </c>
      <c r="B29" s="382"/>
      <c r="C29" s="383"/>
      <c r="D29" s="383"/>
      <c r="E29" s="383"/>
      <c r="F29" s="383"/>
      <c r="G29" s="383"/>
      <c r="H29" s="762" t="s">
        <v>325</v>
      </c>
      <c r="I29" s="763"/>
      <c r="J29" s="763"/>
      <c r="K29" s="764"/>
      <c r="L29" s="384"/>
      <c r="M29" s="385"/>
      <c r="S29" s="368">
        <v>278675</v>
      </c>
      <c r="AD29" s="368" t="e">
        <f>AD27+#REF!</f>
        <v>#REF!</v>
      </c>
      <c r="AI29" s="444" t="s">
        <v>263</v>
      </c>
      <c r="AJ29" s="435" t="s">
        <v>14</v>
      </c>
      <c r="AK29" s="436" t="s">
        <v>264</v>
      </c>
      <c r="AL29" s="437" t="s">
        <v>86</v>
      </c>
      <c r="AM29" s="438"/>
      <c r="AN29" s="438" t="s">
        <v>265</v>
      </c>
    </row>
    <row r="30" spans="1:40" ht="24" customHeight="1">
      <c r="A30" s="381"/>
      <c r="B30" s="382"/>
      <c r="C30" s="383"/>
      <c r="D30" s="383"/>
      <c r="E30" s="383"/>
      <c r="F30" s="383"/>
      <c r="G30" s="383"/>
      <c r="H30" s="577"/>
      <c r="I30" s="400" t="s">
        <v>66</v>
      </c>
      <c r="J30" s="591">
        <v>7</v>
      </c>
      <c r="K30" s="578" t="s">
        <v>61</v>
      </c>
      <c r="L30" s="384"/>
      <c r="M30" s="385"/>
      <c r="S30" s="368">
        <v>39205</v>
      </c>
      <c r="AD30" s="368" t="e">
        <f>AD29/AD23*100</f>
        <v>#REF!</v>
      </c>
      <c r="AI30" s="395">
        <v>3</v>
      </c>
      <c r="AJ30" s="396" t="s">
        <v>267</v>
      </c>
      <c r="AK30" s="397">
        <v>300000</v>
      </c>
      <c r="AL30" s="410">
        <v>26160</v>
      </c>
      <c r="AM30" s="411"/>
      <c r="AN30" s="411">
        <f t="shared" ref="AN30:AN44" si="2">AL30*100/AK30</f>
        <v>8.7200000000000006</v>
      </c>
    </row>
    <row r="31" spans="1:40" ht="24" customHeight="1">
      <c r="A31" s="381"/>
      <c r="B31" s="382"/>
      <c r="C31" s="383"/>
      <c r="D31" s="383"/>
      <c r="E31" s="383"/>
      <c r="F31" s="383"/>
      <c r="G31" s="383"/>
      <c r="H31" s="577"/>
      <c r="I31" s="400" t="s">
        <v>67</v>
      </c>
      <c r="J31" s="591">
        <v>7</v>
      </c>
      <c r="K31" s="578" t="s">
        <v>61</v>
      </c>
      <c r="L31" s="384"/>
      <c r="M31" s="385"/>
      <c r="R31" s="368" t="e">
        <f>R23/R24*100</f>
        <v>#REF!</v>
      </c>
      <c r="S31" s="368" t="e">
        <f>S23/S24*100</f>
        <v>#REF!</v>
      </c>
      <c r="T31" s="368">
        <f t="shared" ref="T31:AD31" si="3">T23/T24*100</f>
        <v>49.724081657390656</v>
      </c>
      <c r="W31" s="368" t="e">
        <f t="shared" si="3"/>
        <v>#REF!</v>
      </c>
      <c r="X31" s="368" t="e">
        <f t="shared" si="3"/>
        <v>#REF!</v>
      </c>
      <c r="Y31" s="368">
        <f t="shared" si="3"/>
        <v>100</v>
      </c>
      <c r="Z31" s="368" t="e">
        <f t="shared" si="3"/>
        <v>#REF!</v>
      </c>
      <c r="AA31" s="368">
        <f t="shared" si="3"/>
        <v>98.732520433021392</v>
      </c>
      <c r="AB31" s="368">
        <f>AB23/AB24*100</f>
        <v>100</v>
      </c>
      <c r="AD31" s="368" t="e">
        <f t="shared" si="3"/>
        <v>#REF!</v>
      </c>
      <c r="AI31" s="395">
        <v>4</v>
      </c>
      <c r="AJ31" s="396" t="s">
        <v>268</v>
      </c>
      <c r="AK31" s="397">
        <v>500000</v>
      </c>
      <c r="AL31" s="410">
        <v>166219.85</v>
      </c>
      <c r="AM31" s="411"/>
      <c r="AN31" s="411">
        <f t="shared" si="2"/>
        <v>33.243969999999997</v>
      </c>
    </row>
    <row r="32" spans="1:40" ht="24" customHeight="1">
      <c r="A32" s="381"/>
      <c r="B32" s="382"/>
      <c r="C32" s="383"/>
      <c r="D32" s="383"/>
      <c r="E32" s="383"/>
      <c r="F32" s="383"/>
      <c r="G32" s="383"/>
      <c r="H32" s="571"/>
      <c r="I32" s="589" t="s">
        <v>81</v>
      </c>
      <c r="J32" s="532">
        <f>J31*100/J30</f>
        <v>100</v>
      </c>
      <c r="K32" s="573" t="s">
        <v>51</v>
      </c>
      <c r="L32" s="384"/>
      <c r="M32" s="385"/>
      <c r="AI32" s="395">
        <v>5</v>
      </c>
      <c r="AJ32" s="396" t="s">
        <v>326</v>
      </c>
      <c r="AK32" s="397">
        <v>500000</v>
      </c>
      <c r="AL32" s="410">
        <v>156718.75</v>
      </c>
      <c r="AM32" s="411"/>
      <c r="AN32" s="411">
        <f t="shared" si="2"/>
        <v>31.34375</v>
      </c>
    </row>
    <row r="33" spans="1:40" ht="24" customHeight="1">
      <c r="A33" s="507"/>
      <c r="B33" s="508"/>
      <c r="C33" s="509"/>
      <c r="D33" s="509"/>
      <c r="E33" s="509"/>
      <c r="F33" s="509"/>
      <c r="G33" s="509"/>
      <c r="H33" s="773"/>
      <c r="I33" s="769"/>
      <c r="J33" s="769"/>
      <c r="K33" s="770"/>
      <c r="L33" s="510"/>
      <c r="M33" s="376"/>
      <c r="AI33" s="395">
        <v>6</v>
      </c>
      <c r="AJ33" s="396" t="s">
        <v>269</v>
      </c>
      <c r="AK33" s="397">
        <v>300000</v>
      </c>
      <c r="AL33" s="410">
        <v>49020</v>
      </c>
      <c r="AM33" s="411"/>
      <c r="AN33" s="411">
        <f t="shared" si="2"/>
        <v>16.34</v>
      </c>
    </row>
    <row r="34" spans="1:40" ht="24" customHeight="1">
      <c r="A34" s="379" t="s">
        <v>160</v>
      </c>
      <c r="B34" s="302">
        <v>5.45</v>
      </c>
      <c r="C34" s="405">
        <v>0.5</v>
      </c>
      <c r="D34" s="405">
        <v>0.75</v>
      </c>
      <c r="E34" s="405">
        <v>1</v>
      </c>
      <c r="F34" s="405">
        <v>1</v>
      </c>
      <c r="G34" s="405">
        <v>1</v>
      </c>
      <c r="H34" s="738" t="s">
        <v>309</v>
      </c>
      <c r="I34" s="739"/>
      <c r="J34" s="739"/>
      <c r="K34" s="740"/>
      <c r="L34" s="303">
        <v>5</v>
      </c>
      <c r="M34" s="380">
        <f>IF(L34=0,"-",ROUND(L34*B34/B$71,4))</f>
        <v>0.32579999999999998</v>
      </c>
      <c r="AI34" s="395">
        <v>9</v>
      </c>
      <c r="AJ34" s="396" t="s">
        <v>271</v>
      </c>
      <c r="AK34" s="397">
        <v>300000</v>
      </c>
      <c r="AL34" s="410">
        <v>0</v>
      </c>
      <c r="AM34" s="411"/>
      <c r="AN34" s="411">
        <f t="shared" si="2"/>
        <v>0</v>
      </c>
    </row>
    <row r="35" spans="1:40" ht="24" customHeight="1">
      <c r="A35" s="381" t="s">
        <v>161</v>
      </c>
      <c r="B35" s="515"/>
      <c r="C35" s="516"/>
      <c r="D35" s="516"/>
      <c r="E35" s="516"/>
      <c r="F35" s="516" t="s">
        <v>70</v>
      </c>
      <c r="G35" s="516" t="s">
        <v>70</v>
      </c>
      <c r="H35" s="763" t="s">
        <v>213</v>
      </c>
      <c r="I35" s="763"/>
      <c r="J35" s="763"/>
      <c r="K35" s="764"/>
      <c r="L35" s="384"/>
      <c r="M35" s="385"/>
      <c r="AI35" s="395">
        <v>11</v>
      </c>
      <c r="AJ35" s="396" t="s">
        <v>273</v>
      </c>
      <c r="AK35" s="397">
        <v>500000</v>
      </c>
      <c r="AL35" s="410">
        <v>62536.11</v>
      </c>
      <c r="AM35" s="411"/>
      <c r="AN35" s="411">
        <f t="shared" si="2"/>
        <v>12.507222000000001</v>
      </c>
    </row>
    <row r="36" spans="1:40" ht="24" customHeight="1">
      <c r="A36" s="381" t="s">
        <v>310</v>
      </c>
      <c r="B36" s="515"/>
      <c r="C36" s="516"/>
      <c r="D36" s="516"/>
      <c r="E36" s="516"/>
      <c r="F36" s="516" t="s">
        <v>138</v>
      </c>
      <c r="G36" s="516" t="s">
        <v>139</v>
      </c>
      <c r="H36" s="577" t="s">
        <v>200</v>
      </c>
      <c r="I36" s="400" t="s">
        <v>56</v>
      </c>
      <c r="J36" s="472">
        <v>100</v>
      </c>
      <c r="K36" s="570" t="s">
        <v>361</v>
      </c>
      <c r="L36" s="384"/>
      <c r="M36" s="385"/>
      <c r="AI36" s="395"/>
      <c r="AJ36" s="396" t="s">
        <v>275</v>
      </c>
      <c r="AK36" s="397">
        <v>300000</v>
      </c>
      <c r="AL36" s="410">
        <v>57903.85</v>
      </c>
      <c r="AM36" s="411"/>
      <c r="AN36" s="411">
        <f t="shared" si="2"/>
        <v>19.301283333333334</v>
      </c>
    </row>
    <row r="37" spans="1:40" ht="24" customHeight="1">
      <c r="A37" s="507"/>
      <c r="B37" s="508"/>
      <c r="C37" s="509"/>
      <c r="D37" s="509"/>
      <c r="E37" s="509"/>
      <c r="F37" s="509"/>
      <c r="G37" s="509"/>
      <c r="H37" s="773"/>
      <c r="I37" s="774"/>
      <c r="J37" s="774"/>
      <c r="K37" s="775"/>
      <c r="L37" s="510"/>
      <c r="M37" s="376"/>
      <c r="AI37" s="395"/>
      <c r="AJ37" s="396" t="s">
        <v>276</v>
      </c>
      <c r="AK37" s="397">
        <v>300000</v>
      </c>
      <c r="AL37" s="410">
        <v>94848.7</v>
      </c>
      <c r="AM37" s="411"/>
      <c r="AN37" s="411">
        <f t="shared" si="2"/>
        <v>31.616233333333334</v>
      </c>
    </row>
    <row r="38" spans="1:40" ht="24" customHeight="1">
      <c r="A38" s="379" t="s">
        <v>149</v>
      </c>
      <c r="B38" s="302">
        <v>16.36</v>
      </c>
      <c r="C38" s="405">
        <v>0.75</v>
      </c>
      <c r="D38" s="405">
        <v>0.78</v>
      </c>
      <c r="E38" s="405">
        <v>0.81</v>
      </c>
      <c r="F38" s="405">
        <v>0.84</v>
      </c>
      <c r="G38" s="405">
        <v>0.87</v>
      </c>
      <c r="H38" s="738" t="s">
        <v>303</v>
      </c>
      <c r="I38" s="739"/>
      <c r="J38" s="739"/>
      <c r="K38" s="740"/>
      <c r="L38" s="303">
        <v>5</v>
      </c>
      <c r="M38" s="380">
        <f>IF(L38=0,"-",ROUND(L38*B38/B$71,4))</f>
        <v>0.97799999999999998</v>
      </c>
      <c r="AI38" s="395">
        <v>13</v>
      </c>
      <c r="AJ38" s="396" t="s">
        <v>281</v>
      </c>
      <c r="AK38" s="397">
        <v>300000</v>
      </c>
      <c r="AL38" s="410">
        <v>205897.2</v>
      </c>
      <c r="AM38" s="411"/>
      <c r="AN38" s="411">
        <f t="shared" si="2"/>
        <v>68.632400000000004</v>
      </c>
    </row>
    <row r="39" spans="1:40" ht="24" customHeight="1">
      <c r="A39" s="381" t="s">
        <v>137</v>
      </c>
      <c r="B39" s="382"/>
      <c r="C39" s="383"/>
      <c r="D39" s="383"/>
      <c r="E39" s="383"/>
      <c r="F39" s="383"/>
      <c r="G39" s="383"/>
      <c r="H39" s="762" t="s">
        <v>272</v>
      </c>
      <c r="I39" s="763"/>
      <c r="J39" s="763"/>
      <c r="K39" s="764"/>
      <c r="L39" s="384"/>
      <c r="M39" s="385"/>
      <c r="AI39" s="395"/>
      <c r="AJ39" s="396" t="s">
        <v>282</v>
      </c>
      <c r="AK39" s="397">
        <v>300000</v>
      </c>
      <c r="AL39" s="410">
        <v>100339.9</v>
      </c>
      <c r="AM39" s="411"/>
      <c r="AN39" s="411">
        <f t="shared" si="2"/>
        <v>33.446633333333331</v>
      </c>
    </row>
    <row r="40" spans="1:40" ht="24" customHeight="1">
      <c r="A40" s="381"/>
      <c r="B40" s="382"/>
      <c r="C40" s="383"/>
      <c r="D40" s="383"/>
      <c r="E40" s="383"/>
      <c r="F40" s="383"/>
      <c r="G40" s="383"/>
      <c r="H40" s="589"/>
      <c r="I40" s="589" t="s">
        <v>87</v>
      </c>
      <c r="J40" s="590">
        <v>172436085</v>
      </c>
      <c r="K40" s="573" t="s">
        <v>163</v>
      </c>
      <c r="L40" s="384"/>
      <c r="M40" s="385"/>
      <c r="AI40" s="395"/>
      <c r="AJ40" s="396" t="s">
        <v>283</v>
      </c>
      <c r="AK40" s="397">
        <v>300000</v>
      </c>
      <c r="AL40" s="410">
        <v>57000</v>
      </c>
      <c r="AM40" s="411"/>
      <c r="AN40" s="411">
        <f t="shared" si="2"/>
        <v>19</v>
      </c>
    </row>
    <row r="41" spans="1:40" ht="24" customHeight="1">
      <c r="A41" s="381"/>
      <c r="B41" s="382"/>
      <c r="C41" s="383"/>
      <c r="D41" s="383"/>
      <c r="E41" s="383"/>
      <c r="F41" s="383"/>
      <c r="G41" s="383"/>
      <c r="H41" s="589"/>
      <c r="I41" s="400" t="s">
        <v>195</v>
      </c>
      <c r="J41" s="591">
        <v>185168485</v>
      </c>
      <c r="K41" s="573" t="s">
        <v>163</v>
      </c>
      <c r="L41" s="384"/>
      <c r="M41" s="385"/>
      <c r="AI41" s="395"/>
      <c r="AJ41" s="396" t="s">
        <v>284</v>
      </c>
      <c r="AK41" s="397">
        <v>300000</v>
      </c>
      <c r="AL41" s="410">
        <v>54914.85</v>
      </c>
      <c r="AM41" s="411"/>
      <c r="AN41" s="411">
        <f t="shared" si="2"/>
        <v>18.304950000000002</v>
      </c>
    </row>
    <row r="42" spans="1:40" ht="24" customHeight="1">
      <c r="A42" s="381"/>
      <c r="B42" s="382"/>
      <c r="C42" s="383"/>
      <c r="D42" s="383"/>
      <c r="E42" s="383"/>
      <c r="F42" s="383"/>
      <c r="G42" s="383"/>
      <c r="H42" s="589"/>
      <c r="I42" s="400" t="s">
        <v>196</v>
      </c>
      <c r="J42" s="472">
        <v>89.22</v>
      </c>
      <c r="K42" s="573" t="s">
        <v>51</v>
      </c>
      <c r="L42" s="384"/>
      <c r="M42" s="385"/>
      <c r="AI42" s="395"/>
      <c r="AJ42" s="396" t="s">
        <v>285</v>
      </c>
      <c r="AK42" s="397">
        <v>300000</v>
      </c>
      <c r="AL42" s="410">
        <v>66279.649999999994</v>
      </c>
      <c r="AM42" s="411"/>
      <c r="AN42" s="411">
        <f t="shared" si="2"/>
        <v>22.093216666666663</v>
      </c>
    </row>
    <row r="43" spans="1:40" ht="24" customHeight="1">
      <c r="A43" s="507"/>
      <c r="B43" s="508"/>
      <c r="C43" s="509"/>
      <c r="D43" s="509"/>
      <c r="E43" s="509"/>
      <c r="F43" s="509"/>
      <c r="G43" s="509"/>
      <c r="H43" s="592"/>
      <c r="I43" s="587"/>
      <c r="J43" s="593"/>
      <c r="K43" s="588"/>
      <c r="L43" s="510"/>
      <c r="M43" s="376"/>
      <c r="AI43" s="395"/>
      <c r="AJ43" s="396" t="s">
        <v>286</v>
      </c>
      <c r="AK43" s="397">
        <v>500000</v>
      </c>
      <c r="AL43" s="410">
        <v>147338.20000000001</v>
      </c>
      <c r="AM43" s="411"/>
      <c r="AN43" s="411">
        <f t="shared" si="2"/>
        <v>29.467640000000003</v>
      </c>
    </row>
    <row r="44" spans="1:40" ht="24" customHeight="1">
      <c r="A44" s="379" t="s">
        <v>150</v>
      </c>
      <c r="B44" s="302">
        <v>1.87</v>
      </c>
      <c r="C44" s="405">
        <v>0.6</v>
      </c>
      <c r="D44" s="405">
        <v>0.65</v>
      </c>
      <c r="E44" s="405">
        <v>0.7</v>
      </c>
      <c r="F44" s="405">
        <v>0.75</v>
      </c>
      <c r="G44" s="405">
        <v>0.8</v>
      </c>
      <c r="H44" s="738" t="s">
        <v>222</v>
      </c>
      <c r="I44" s="739"/>
      <c r="J44" s="739"/>
      <c r="K44" s="740"/>
      <c r="L44" s="303">
        <v>5</v>
      </c>
      <c r="M44" s="380">
        <f>IF(L44=0,"-",ROUND(L44*B44/B$71,4))</f>
        <v>0.1118</v>
      </c>
      <c r="AI44" s="395"/>
      <c r="AJ44" s="396" t="s">
        <v>277</v>
      </c>
      <c r="AK44" s="397">
        <v>500000</v>
      </c>
      <c r="AL44" s="410">
        <v>150000</v>
      </c>
      <c r="AM44" s="411"/>
      <c r="AN44" s="411">
        <f t="shared" si="2"/>
        <v>30</v>
      </c>
    </row>
    <row r="45" spans="1:40" ht="24" customHeight="1">
      <c r="A45" s="381" t="s">
        <v>151</v>
      </c>
      <c r="B45" s="515"/>
      <c r="C45" s="594"/>
      <c r="D45" s="594"/>
      <c r="E45" s="594"/>
      <c r="F45" s="594"/>
      <c r="G45" s="594"/>
      <c r="H45" s="762" t="s">
        <v>223</v>
      </c>
      <c r="I45" s="763"/>
      <c r="J45" s="763"/>
      <c r="K45" s="764"/>
      <c r="L45" s="384"/>
      <c r="M45" s="385"/>
      <c r="AI45" s="395"/>
      <c r="AJ45" s="396"/>
      <c r="AK45" s="397" t="e">
        <f>#REF!+AK30+AK31+AK32+AK33+AK34+AK35+AK36+#REF!+AK37+AK38+AK39+AK40+AK41+AK42+AK43+AK44</f>
        <v>#REF!</v>
      </c>
      <c r="AL45" s="410" t="e">
        <f>#REF!+AL30+AL31+AL32+AL33+AL34+AL35+AL36+#REF!+AL37+AL38+AL39+AL40+AL41+AL42+AL43+AL44</f>
        <v>#REF!</v>
      </c>
      <c r="AM45" s="411"/>
      <c r="AN45" s="411" t="e">
        <f>AL45*100/AK45</f>
        <v>#REF!</v>
      </c>
    </row>
    <row r="46" spans="1:40" ht="24" customHeight="1">
      <c r="A46" s="381" t="s">
        <v>91</v>
      </c>
      <c r="B46" s="382"/>
      <c r="C46" s="383"/>
      <c r="D46" s="383"/>
      <c r="E46" s="383"/>
      <c r="F46" s="383"/>
      <c r="G46" s="383"/>
      <c r="H46" s="762" t="s">
        <v>224</v>
      </c>
      <c r="I46" s="763"/>
      <c r="J46" s="763"/>
      <c r="K46" s="764"/>
      <c r="L46" s="384"/>
      <c r="M46" s="385"/>
    </row>
    <row r="47" spans="1:40" ht="24" customHeight="1">
      <c r="A47" s="381"/>
      <c r="B47" s="382"/>
      <c r="C47" s="383"/>
      <c r="D47" s="383"/>
      <c r="E47" s="383"/>
      <c r="F47" s="383"/>
      <c r="G47" s="383"/>
      <c r="H47" s="577"/>
      <c r="I47" s="400" t="s">
        <v>97</v>
      </c>
      <c r="J47" s="591">
        <v>271</v>
      </c>
      <c r="K47" s="578" t="s">
        <v>96</v>
      </c>
      <c r="L47" s="384"/>
      <c r="M47" s="385"/>
    </row>
    <row r="48" spans="1:40" ht="24" customHeight="1">
      <c r="A48" s="381"/>
      <c r="B48" s="382"/>
      <c r="C48" s="383"/>
      <c r="D48" s="383"/>
      <c r="E48" s="383"/>
      <c r="F48" s="383"/>
      <c r="G48" s="383"/>
      <c r="H48" s="577"/>
      <c r="I48" s="400" t="s">
        <v>98</v>
      </c>
      <c r="J48" s="591">
        <v>271</v>
      </c>
      <c r="K48" s="578" t="s">
        <v>96</v>
      </c>
      <c r="L48" s="384"/>
      <c r="M48" s="385"/>
    </row>
    <row r="49" spans="1:34" ht="24" customHeight="1">
      <c r="A49" s="381"/>
      <c r="B49" s="382"/>
      <c r="C49" s="383"/>
      <c r="D49" s="383"/>
      <c r="E49" s="383"/>
      <c r="F49" s="383"/>
      <c r="G49" s="383"/>
      <c r="H49" s="571"/>
      <c r="I49" s="400" t="s">
        <v>35</v>
      </c>
      <c r="J49" s="486">
        <f>ROUND(J48*100/J47,2)</f>
        <v>100</v>
      </c>
      <c r="K49" s="573" t="s">
        <v>51</v>
      </c>
      <c r="L49" s="384"/>
      <c r="M49" s="385"/>
    </row>
    <row r="50" spans="1:34" ht="24" customHeight="1">
      <c r="A50" s="507"/>
      <c r="B50" s="508"/>
      <c r="C50" s="509"/>
      <c r="D50" s="509"/>
      <c r="E50" s="509"/>
      <c r="F50" s="509"/>
      <c r="G50" s="509"/>
      <c r="H50" s="595"/>
      <c r="I50" s="596"/>
      <c r="J50" s="596"/>
      <c r="K50" s="574"/>
      <c r="L50" s="510"/>
      <c r="M50" s="376"/>
    </row>
    <row r="51" spans="1:34" ht="24" customHeight="1">
      <c r="A51" s="597" t="s">
        <v>152</v>
      </c>
      <c r="B51" s="490">
        <v>5.45</v>
      </c>
      <c r="C51" s="598">
        <v>0.65</v>
      </c>
      <c r="D51" s="598">
        <v>0.7</v>
      </c>
      <c r="E51" s="598">
        <v>0.75</v>
      </c>
      <c r="F51" s="598">
        <v>0.8</v>
      </c>
      <c r="G51" s="598">
        <v>0.85</v>
      </c>
      <c r="H51" s="738" t="s">
        <v>225</v>
      </c>
      <c r="I51" s="739"/>
      <c r="J51" s="739"/>
      <c r="K51" s="740"/>
      <c r="L51" s="303">
        <v>4.7939999999999996</v>
      </c>
      <c r="M51" s="380">
        <f>IF(L51=0,"-",ROUND(L51*B51/B$71,4))</f>
        <v>0.31240000000000001</v>
      </c>
    </row>
    <row r="52" spans="1:34" ht="24" customHeight="1">
      <c r="A52" s="381" t="s">
        <v>153</v>
      </c>
      <c r="B52" s="382"/>
      <c r="C52" s="383"/>
      <c r="D52" s="383"/>
      <c r="E52" s="383"/>
      <c r="F52" s="383"/>
      <c r="G52" s="383"/>
      <c r="H52" s="762" t="s">
        <v>226</v>
      </c>
      <c r="I52" s="763"/>
      <c r="J52" s="763"/>
      <c r="K52" s="764"/>
      <c r="L52" s="384"/>
      <c r="M52" s="385"/>
    </row>
    <row r="53" spans="1:34" ht="24" customHeight="1">
      <c r="A53" s="599" t="s">
        <v>162</v>
      </c>
      <c r="B53" s="382"/>
      <c r="C53" s="383"/>
      <c r="D53" s="383"/>
      <c r="E53" s="383"/>
      <c r="F53" s="383"/>
      <c r="G53" s="383"/>
      <c r="H53" s="577" t="s">
        <v>200</v>
      </c>
      <c r="I53" s="600" t="s">
        <v>113</v>
      </c>
      <c r="J53" s="486">
        <v>83.97</v>
      </c>
      <c r="K53" s="573" t="s">
        <v>51</v>
      </c>
      <c r="L53" s="384"/>
      <c r="M53" s="385"/>
    </row>
    <row r="54" spans="1:34" ht="24" customHeight="1">
      <c r="A54" s="381"/>
      <c r="B54" s="382"/>
      <c r="C54" s="383"/>
      <c r="D54" s="383"/>
      <c r="E54" s="383"/>
      <c r="F54" s="383"/>
      <c r="G54" s="517"/>
      <c r="H54" s="601"/>
      <c r="I54" s="601"/>
      <c r="J54" s="601"/>
      <c r="K54" s="601"/>
      <c r="L54" s="384"/>
      <c r="M54" s="385"/>
    </row>
    <row r="55" spans="1:34" ht="24" customHeight="1">
      <c r="A55" s="379" t="s">
        <v>154</v>
      </c>
      <c r="B55" s="490">
        <v>5.45</v>
      </c>
      <c r="C55" s="496" t="s">
        <v>29</v>
      </c>
      <c r="D55" s="496" t="s">
        <v>30</v>
      </c>
      <c r="E55" s="496" t="s">
        <v>31</v>
      </c>
      <c r="F55" s="496" t="s">
        <v>32</v>
      </c>
      <c r="G55" s="496" t="s">
        <v>33</v>
      </c>
      <c r="H55" s="738" t="s">
        <v>227</v>
      </c>
      <c r="I55" s="739"/>
      <c r="J55" s="739"/>
      <c r="K55" s="740"/>
      <c r="L55" s="303">
        <v>1</v>
      </c>
      <c r="M55" s="380">
        <f>IF(L55=0,"-",ROUND(L55*B55/B$71,4))</f>
        <v>6.5199999999999994E-2</v>
      </c>
    </row>
    <row r="56" spans="1:34" ht="24" customHeight="1">
      <c r="A56" s="381" t="s">
        <v>107</v>
      </c>
      <c r="B56" s="382"/>
      <c r="C56" s="497">
        <v>1.5</v>
      </c>
      <c r="D56" s="497">
        <v>2</v>
      </c>
      <c r="E56" s="497">
        <v>2.5</v>
      </c>
      <c r="F56" s="497">
        <v>3</v>
      </c>
      <c r="G56" s="497">
        <v>5</v>
      </c>
      <c r="H56" s="762" t="s">
        <v>228</v>
      </c>
      <c r="I56" s="763"/>
      <c r="J56" s="763"/>
      <c r="K56" s="764"/>
      <c r="L56" s="384"/>
      <c r="M56" s="385"/>
    </row>
    <row r="57" spans="1:34" ht="24" customHeight="1">
      <c r="A57" s="381" t="s">
        <v>310</v>
      </c>
      <c r="B57" s="382"/>
      <c r="C57" s="517"/>
      <c r="D57" s="517"/>
      <c r="E57" s="517"/>
      <c r="F57" s="517"/>
      <c r="G57" s="517"/>
      <c r="H57" s="762" t="s">
        <v>213</v>
      </c>
      <c r="I57" s="763"/>
      <c r="J57" s="763"/>
      <c r="K57" s="764"/>
      <c r="L57" s="384"/>
      <c r="M57" s="385"/>
    </row>
    <row r="58" spans="1:34" ht="24" customHeight="1">
      <c r="A58" s="381"/>
      <c r="B58" s="382"/>
      <c r="C58" s="517"/>
      <c r="D58" s="517"/>
      <c r="E58" s="517"/>
      <c r="F58" s="517"/>
      <c r="G58" s="517"/>
      <c r="H58" s="571"/>
      <c r="I58" s="400" t="s">
        <v>112</v>
      </c>
      <c r="J58" s="472" t="s">
        <v>11</v>
      </c>
      <c r="K58" s="578"/>
      <c r="L58" s="384"/>
      <c r="M58" s="385"/>
    </row>
    <row r="59" spans="1:34" ht="24" customHeight="1">
      <c r="A59" s="507"/>
      <c r="B59" s="508"/>
      <c r="C59" s="509"/>
      <c r="D59" s="509"/>
      <c r="E59" s="509"/>
      <c r="F59" s="509"/>
      <c r="G59" s="509"/>
      <c r="H59" s="511"/>
      <c r="I59" s="587"/>
      <c r="J59" s="587"/>
      <c r="K59" s="588"/>
      <c r="L59" s="510"/>
      <c r="M59" s="376"/>
    </row>
    <row r="60" spans="1:34" ht="24" customHeight="1">
      <c r="A60" s="602" t="s">
        <v>155</v>
      </c>
      <c r="B60" s="490">
        <v>5.45</v>
      </c>
      <c r="C60" s="598">
        <v>0.1</v>
      </c>
      <c r="D60" s="598">
        <v>0.3</v>
      </c>
      <c r="E60" s="598">
        <v>0.5</v>
      </c>
      <c r="F60" s="598">
        <v>0.7</v>
      </c>
      <c r="G60" s="598">
        <v>1</v>
      </c>
      <c r="H60" s="738" t="s">
        <v>316</v>
      </c>
      <c r="I60" s="739"/>
      <c r="J60" s="739"/>
      <c r="K60" s="740"/>
      <c r="L60" s="303">
        <f>ROUND(4+((J63-70)*1/30),4)</f>
        <v>4.4667000000000003</v>
      </c>
      <c r="M60" s="380">
        <f>IF(L60=0,"-",ROUND(L60*B60/B$71,4))</f>
        <v>0.29110000000000003</v>
      </c>
      <c r="Q60" s="368" t="s">
        <v>164</v>
      </c>
      <c r="R60" s="368" t="s">
        <v>165</v>
      </c>
      <c r="S60" s="368" t="s">
        <v>166</v>
      </c>
      <c r="T60" s="368" t="s">
        <v>180</v>
      </c>
      <c r="U60" s="368" t="s">
        <v>181</v>
      </c>
      <c r="V60" s="368" t="s">
        <v>278</v>
      </c>
      <c r="W60" s="368" t="s">
        <v>183</v>
      </c>
      <c r="X60" s="368" t="s">
        <v>184</v>
      </c>
      <c r="Y60" s="368" t="s">
        <v>185</v>
      </c>
      <c r="Z60" s="368" t="s">
        <v>186</v>
      </c>
      <c r="AA60" s="368" t="s">
        <v>187</v>
      </c>
      <c r="AB60" s="368" t="s">
        <v>188</v>
      </c>
      <c r="AC60" s="368" t="s">
        <v>189</v>
      </c>
      <c r="AD60" s="368" t="s">
        <v>190</v>
      </c>
      <c r="AE60" s="368" t="s">
        <v>191</v>
      </c>
      <c r="AF60" s="368" t="s">
        <v>192</v>
      </c>
      <c r="AG60" s="368" t="s">
        <v>193</v>
      </c>
      <c r="AH60" s="368" t="s">
        <v>20</v>
      </c>
    </row>
    <row r="61" spans="1:34" ht="24" customHeight="1">
      <c r="A61" s="603" t="s">
        <v>197</v>
      </c>
      <c r="B61" s="604"/>
      <c r="C61" s="383"/>
      <c r="D61" s="383"/>
      <c r="E61" s="383"/>
      <c r="F61" s="383"/>
      <c r="G61" s="406"/>
      <c r="H61" s="571" t="s">
        <v>317</v>
      </c>
      <c r="I61" s="501"/>
      <c r="J61" s="581"/>
      <c r="K61" s="582"/>
      <c r="L61" s="518"/>
      <c r="M61" s="385"/>
      <c r="Q61" s="368">
        <v>82</v>
      </c>
      <c r="R61" s="368">
        <v>100</v>
      </c>
      <c r="S61" s="368">
        <v>0</v>
      </c>
      <c r="T61" s="368">
        <v>82</v>
      </c>
      <c r="U61" s="368">
        <v>72</v>
      </c>
      <c r="V61" s="368">
        <v>81</v>
      </c>
      <c r="W61" s="368">
        <v>95</v>
      </c>
      <c r="X61" s="368">
        <v>72</v>
      </c>
      <c r="Y61" s="368">
        <v>80</v>
      </c>
      <c r="Z61" s="368">
        <v>76</v>
      </c>
      <c r="AA61" s="368">
        <v>76</v>
      </c>
      <c r="AB61" s="368">
        <v>86</v>
      </c>
      <c r="AC61" s="368">
        <v>76</v>
      </c>
      <c r="AD61" s="368">
        <v>70</v>
      </c>
      <c r="AE61" s="368">
        <v>100</v>
      </c>
      <c r="AF61" s="368">
        <v>72</v>
      </c>
      <c r="AG61" s="368">
        <v>95</v>
      </c>
      <c r="AH61" s="404">
        <f>(Q61+R61+S61+T61+U61+V61+W61+X61+Y61+Z61+AA61+AB61+AC61+AD61+AE61+AF61+AG61)/17</f>
        <v>77.352941176470594</v>
      </c>
    </row>
    <row r="62" spans="1:34" ht="24" customHeight="1">
      <c r="A62" s="381" t="s">
        <v>310</v>
      </c>
      <c r="B62" s="604"/>
      <c r="C62" s="383"/>
      <c r="D62" s="383"/>
      <c r="E62" s="383"/>
      <c r="F62" s="383"/>
      <c r="G62" s="383"/>
      <c r="H62" s="572" t="s">
        <v>231</v>
      </c>
      <c r="I62" s="501"/>
      <c r="J62" s="581"/>
      <c r="K62" s="582"/>
      <c r="L62" s="518"/>
      <c r="M62" s="385"/>
    </row>
    <row r="63" spans="1:34" ht="24" customHeight="1">
      <c r="A63" s="603"/>
      <c r="B63" s="604"/>
      <c r="C63" s="383"/>
      <c r="D63" s="383"/>
      <c r="E63" s="383"/>
      <c r="F63" s="383"/>
      <c r="G63" s="383"/>
      <c r="H63" s="571"/>
      <c r="I63" s="400" t="s">
        <v>114</v>
      </c>
      <c r="J63" s="545">
        <v>84</v>
      </c>
      <c r="K63" s="573" t="s">
        <v>51</v>
      </c>
      <c r="L63" s="518"/>
      <c r="M63" s="385"/>
      <c r="P63" s="305"/>
    </row>
    <row r="64" spans="1:34" ht="24" customHeight="1">
      <c r="A64" s="605"/>
      <c r="B64" s="606"/>
      <c r="C64" s="509"/>
      <c r="D64" s="509"/>
      <c r="E64" s="509"/>
      <c r="F64" s="509"/>
      <c r="G64" s="509"/>
      <c r="H64" s="512"/>
      <c r="I64" s="587"/>
      <c r="J64" s="587"/>
      <c r="K64" s="588"/>
      <c r="L64" s="607"/>
      <c r="M64" s="376"/>
    </row>
    <row r="65" spans="1:32" ht="24" customHeight="1">
      <c r="A65" s="379" t="s">
        <v>156</v>
      </c>
      <c r="B65" s="490">
        <v>5.45</v>
      </c>
      <c r="C65" s="498">
        <v>0.8</v>
      </c>
      <c r="D65" s="498">
        <v>0.85</v>
      </c>
      <c r="E65" s="498">
        <v>0.9</v>
      </c>
      <c r="F65" s="498">
        <v>0.95</v>
      </c>
      <c r="G65" s="498">
        <v>1</v>
      </c>
      <c r="H65" s="738" t="s">
        <v>304</v>
      </c>
      <c r="I65" s="739"/>
      <c r="J65" s="739"/>
      <c r="K65" s="740"/>
      <c r="L65" s="303">
        <f>ROUND(4+((J69-95)*1/5),4)</f>
        <v>4.8680000000000003</v>
      </c>
      <c r="M65" s="380">
        <f>IF(L65=0,"-",ROUND(L65*B65/B$71,4))</f>
        <v>0.31719999999999998</v>
      </c>
      <c r="R65" s="413"/>
    </row>
    <row r="66" spans="1:32" ht="24" customHeight="1">
      <c r="A66" s="381" t="s">
        <v>116</v>
      </c>
      <c r="B66" s="382"/>
      <c r="C66" s="497"/>
      <c r="D66" s="497"/>
      <c r="E66" s="497"/>
      <c r="F66" s="497"/>
      <c r="G66" s="497"/>
      <c r="H66" s="762" t="s">
        <v>305</v>
      </c>
      <c r="I66" s="763"/>
      <c r="J66" s="763"/>
      <c r="K66" s="764"/>
      <c r="L66" s="384"/>
      <c r="M66" s="385"/>
    </row>
    <row r="67" spans="1:32" ht="24" customHeight="1">
      <c r="A67" s="381" t="s">
        <v>310</v>
      </c>
      <c r="B67" s="382"/>
      <c r="C67" s="383"/>
      <c r="D67" s="383"/>
      <c r="E67" s="383"/>
      <c r="F67" s="383"/>
      <c r="G67" s="383"/>
      <c r="H67" s="762" t="s">
        <v>306</v>
      </c>
      <c r="I67" s="763"/>
      <c r="J67" s="763"/>
      <c r="K67" s="764"/>
      <c r="L67" s="384"/>
      <c r="M67" s="385"/>
      <c r="O67" s="375"/>
      <c r="P67" s="375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5"/>
      <c r="AB67" s="375"/>
      <c r="AC67" s="375"/>
      <c r="AD67" s="375"/>
      <c r="AE67" s="375"/>
      <c r="AF67" s="375"/>
    </row>
    <row r="68" spans="1:32" ht="24" customHeight="1">
      <c r="A68" s="381"/>
      <c r="B68" s="382"/>
      <c r="C68" s="383"/>
      <c r="D68" s="383"/>
      <c r="E68" s="383"/>
      <c r="F68" s="383"/>
      <c r="G68" s="383"/>
      <c r="H68" s="571" t="s">
        <v>307</v>
      </c>
      <c r="I68" s="572"/>
      <c r="J68" s="572"/>
      <c r="K68" s="573"/>
      <c r="L68" s="384"/>
      <c r="M68" s="385"/>
      <c r="O68" s="414"/>
      <c r="P68" s="414"/>
      <c r="Q68" s="414"/>
      <c r="R68" s="414"/>
      <c r="S68" s="414"/>
      <c r="T68" s="414"/>
      <c r="U68" s="414"/>
      <c r="V68" s="414"/>
      <c r="W68" s="414"/>
      <c r="X68" s="414"/>
      <c r="Y68" s="414"/>
      <c r="Z68" s="414"/>
      <c r="AA68" s="414"/>
      <c r="AB68" s="414"/>
      <c r="AC68" s="414"/>
      <c r="AD68" s="414"/>
      <c r="AE68" s="414"/>
      <c r="AF68" s="414"/>
    </row>
    <row r="69" spans="1:32" ht="24" customHeight="1">
      <c r="A69" s="381"/>
      <c r="B69" s="382"/>
      <c r="C69" s="383"/>
      <c r="D69" s="383"/>
      <c r="E69" s="383"/>
      <c r="F69" s="383"/>
      <c r="G69" s="383"/>
      <c r="H69" s="571"/>
      <c r="I69" s="400" t="s">
        <v>114</v>
      </c>
      <c r="J69" s="545">
        <v>99.34</v>
      </c>
      <c r="K69" s="578" t="s">
        <v>51</v>
      </c>
      <c r="L69" s="384"/>
      <c r="M69" s="385"/>
      <c r="O69" s="414"/>
      <c r="P69" s="414"/>
      <c r="Q69" s="414"/>
      <c r="R69" s="414"/>
      <c r="S69" s="414"/>
      <c r="T69" s="414"/>
      <c r="U69" s="414"/>
      <c r="V69" s="414"/>
      <c r="W69" s="414"/>
      <c r="X69" s="414"/>
      <c r="Y69" s="414"/>
      <c r="Z69" s="414"/>
      <c r="AA69" s="414"/>
      <c r="AB69" s="414"/>
      <c r="AC69" s="414"/>
      <c r="AD69" s="414"/>
      <c r="AE69" s="414"/>
      <c r="AF69" s="414"/>
    </row>
    <row r="70" spans="1:32" ht="24" customHeight="1">
      <c r="A70" s="381"/>
      <c r="B70" s="608"/>
      <c r="C70" s="383"/>
      <c r="D70" s="383"/>
      <c r="E70" s="383"/>
      <c r="F70" s="383"/>
      <c r="G70" s="517"/>
      <c r="H70" s="571"/>
      <c r="I70" s="601"/>
      <c r="J70" s="600"/>
      <c r="K70" s="578"/>
      <c r="L70" s="384"/>
      <c r="M70" s="385"/>
      <c r="O70" s="414"/>
      <c r="P70" s="414"/>
      <c r="Q70" s="414"/>
      <c r="R70" s="414"/>
      <c r="S70" s="414"/>
      <c r="T70" s="414"/>
      <c r="U70" s="414"/>
      <c r="V70" s="414"/>
      <c r="W70" s="414"/>
      <c r="X70" s="414"/>
      <c r="Y70" s="414"/>
      <c r="Z70" s="414"/>
      <c r="AA70" s="414"/>
      <c r="AB70" s="414"/>
      <c r="AC70" s="414"/>
      <c r="AD70" s="414"/>
      <c r="AE70" s="414"/>
      <c r="AF70" s="414"/>
    </row>
    <row r="71" spans="1:32" ht="24" customHeight="1">
      <c r="A71" s="415"/>
      <c r="B71" s="416">
        <f>SUM(B6:B70)</f>
        <v>83.640000000000015</v>
      </c>
      <c r="C71" s="417"/>
      <c r="D71" s="417"/>
      <c r="E71" s="417"/>
      <c r="F71" s="417"/>
      <c r="G71" s="418"/>
      <c r="H71" s="417"/>
      <c r="I71" s="417"/>
      <c r="J71" s="417"/>
      <c r="K71" s="417"/>
      <c r="L71" s="419" t="s">
        <v>140</v>
      </c>
      <c r="M71" s="420">
        <f>SUM(M6:M70)</f>
        <v>4.1619999999999999</v>
      </c>
      <c r="O71" s="414"/>
      <c r="P71" s="414"/>
      <c r="Q71" s="414"/>
      <c r="R71" s="414"/>
      <c r="S71" s="414"/>
      <c r="T71" s="414"/>
      <c r="U71" s="414"/>
      <c r="V71" s="414"/>
      <c r="W71" s="414"/>
      <c r="X71" s="414"/>
      <c r="Y71" s="414"/>
      <c r="Z71" s="414"/>
      <c r="AA71" s="414"/>
      <c r="AB71" s="414"/>
      <c r="AC71" s="414"/>
      <c r="AD71" s="414"/>
      <c r="AE71" s="414"/>
      <c r="AF71" s="414"/>
    </row>
    <row r="72" spans="1:32" ht="24" customHeight="1">
      <c r="O72" s="414"/>
      <c r="P72" s="414"/>
      <c r="Q72" s="414"/>
      <c r="R72" s="414"/>
      <c r="S72" s="414"/>
      <c r="T72" s="414"/>
      <c r="U72" s="414"/>
      <c r="V72" s="422"/>
      <c r="W72" s="414"/>
      <c r="X72" s="414"/>
      <c r="Y72" s="414"/>
      <c r="Z72" s="414"/>
      <c r="AA72" s="414"/>
      <c r="AB72" s="414"/>
      <c r="AC72" s="414"/>
      <c r="AD72" s="414"/>
      <c r="AE72" s="414"/>
      <c r="AF72" s="414"/>
    </row>
    <row r="73" spans="1:32" ht="24" customHeight="1">
      <c r="A73" s="423"/>
    </row>
    <row r="74" spans="1:32" ht="24" customHeight="1"/>
    <row r="75" spans="1:32" ht="24" customHeight="1"/>
    <row r="76" spans="1:32" ht="24" customHeight="1"/>
    <row r="77" spans="1:32" ht="24" customHeight="1"/>
    <row r="78" spans="1:32" ht="24" customHeight="1"/>
    <row r="79" spans="1:32" ht="24" customHeight="1"/>
    <row r="80" spans="1:32" ht="24" customHeight="1"/>
  </sheetData>
  <mergeCells count="41">
    <mergeCell ref="H57:K57"/>
    <mergeCell ref="H60:K60"/>
    <mergeCell ref="H65:K65"/>
    <mergeCell ref="H66:K66"/>
    <mergeCell ref="H67:K67"/>
    <mergeCell ref="AI26:AJ26"/>
    <mergeCell ref="H27:K27"/>
    <mergeCell ref="H28:K28"/>
    <mergeCell ref="H29:K29"/>
    <mergeCell ref="H56:K56"/>
    <mergeCell ref="H34:K34"/>
    <mergeCell ref="H35:K35"/>
    <mergeCell ref="H37:K37"/>
    <mergeCell ref="H38:K38"/>
    <mergeCell ref="H39:K39"/>
    <mergeCell ref="H44:K44"/>
    <mergeCell ref="H45:K45"/>
    <mergeCell ref="H46:K46"/>
    <mergeCell ref="H51:K51"/>
    <mergeCell ref="H52:K52"/>
    <mergeCell ref="H55:K55"/>
    <mergeCell ref="H33:K33"/>
    <mergeCell ref="H14:K14"/>
    <mergeCell ref="H17:K17"/>
    <mergeCell ref="H18:K18"/>
    <mergeCell ref="H19:K19"/>
    <mergeCell ref="H22:K22"/>
    <mergeCell ref="H23:K23"/>
    <mergeCell ref="H24:K24"/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1:K11"/>
    <mergeCell ref="H12:K12"/>
  </mergeCells>
  <printOptions horizontalCentered="1"/>
  <pageMargins left="0.196850393700787" right="0.196850393700787" top="0.55118110236220497" bottom="0.27559055118110198" header="0.196850393700787" footer="0.47244094488188998"/>
  <pageSetup paperSize="9" scale="68" orientation="landscape" r:id="rId1"/>
  <headerFooter scaleWithDoc="0">
    <oddHeader>&amp;R&amp;"TH SarabunPSK,Regular"&amp;16&amp;P</oddHeader>
  </headerFooter>
  <rowBreaks count="3" manualBreakCount="3">
    <brk id="26" max="12" man="1"/>
    <brk id="43" max="12" man="1"/>
    <brk id="64" max="12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N81"/>
  <sheetViews>
    <sheetView view="pageBreakPreview" zoomScaleNormal="90" zoomScaleSheetLayoutView="100" zoomScalePageLayoutView="50" workbookViewId="0">
      <selection activeCell="J15" sqref="J15"/>
    </sheetView>
  </sheetViews>
  <sheetFormatPr defaultColWidth="9.140625" defaultRowHeight="21"/>
  <cols>
    <col min="1" max="1" width="38" style="368" customWidth="1"/>
    <col min="2" max="2" width="11.5703125" style="368" customWidth="1"/>
    <col min="3" max="3" width="9.85546875" style="368" customWidth="1"/>
    <col min="4" max="7" width="9.28515625" style="368" customWidth="1"/>
    <col min="8" max="8" width="9.85546875" style="368" customWidth="1"/>
    <col min="9" max="9" width="16.140625" style="368" customWidth="1"/>
    <col min="10" max="10" width="16.5703125" style="368" customWidth="1"/>
    <col min="11" max="11" width="33.7109375" style="368" customWidth="1"/>
    <col min="12" max="12" width="11.140625" style="421" customWidth="1"/>
    <col min="13" max="13" width="11.140625" style="368" customWidth="1"/>
    <col min="14" max="16" width="9.140625" style="368"/>
    <col min="17" max="17" width="12.42578125" style="368" bestFit="1" customWidth="1"/>
    <col min="18" max="20" width="11.5703125" style="368" bestFit="1" customWidth="1"/>
    <col min="21" max="21" width="9.140625" style="368"/>
    <col min="22" max="30" width="11.5703125" style="368" bestFit="1" customWidth="1"/>
    <col min="31" max="31" width="17.7109375" style="368" customWidth="1"/>
    <col min="32" max="32" width="9.28515625" style="368" bestFit="1" customWidth="1"/>
    <col min="33" max="33" width="11.28515625" style="368" bestFit="1" customWidth="1"/>
    <col min="34" max="35" width="9.140625" style="368"/>
    <col min="36" max="36" width="86.140625" style="368" bestFit="1" customWidth="1"/>
    <col min="37" max="37" width="19.28515625" style="368" bestFit="1" customWidth="1"/>
    <col min="38" max="38" width="15" style="368" bestFit="1" customWidth="1"/>
    <col min="39" max="39" width="10.42578125" style="368" bestFit="1" customWidth="1"/>
    <col min="40" max="16384" width="9.140625" style="368"/>
  </cols>
  <sheetData>
    <row r="1" spans="1:40" ht="24" customHeight="1">
      <c r="A1" s="752" t="s">
        <v>0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2" spans="1:40" ht="24" customHeight="1">
      <c r="A2" s="752" t="s">
        <v>336</v>
      </c>
      <c r="B2" s="753"/>
      <c r="C2" s="753"/>
      <c r="D2" s="753"/>
      <c r="E2" s="753"/>
      <c r="F2" s="753"/>
      <c r="G2" s="753"/>
      <c r="H2" s="753"/>
      <c r="I2" s="753"/>
      <c r="J2" s="753"/>
      <c r="K2" s="753"/>
      <c r="L2" s="753"/>
      <c r="M2" s="753"/>
    </row>
    <row r="3" spans="1:40" ht="24" customHeight="1">
      <c r="A3" s="369" t="s">
        <v>373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72" t="s">
        <v>237</v>
      </c>
    </row>
    <row r="4" spans="1:40" s="375" customFormat="1" ht="24" customHeight="1">
      <c r="A4" s="373" t="s">
        <v>1</v>
      </c>
      <c r="B4" s="373" t="s">
        <v>2</v>
      </c>
      <c r="C4" s="754" t="s">
        <v>3</v>
      </c>
      <c r="D4" s="754"/>
      <c r="E4" s="754"/>
      <c r="F4" s="754"/>
      <c r="G4" s="754"/>
      <c r="H4" s="755" t="s">
        <v>4</v>
      </c>
      <c r="I4" s="756"/>
      <c r="J4" s="756"/>
      <c r="K4" s="757"/>
      <c r="L4" s="761" t="s">
        <v>5</v>
      </c>
      <c r="M4" s="374" t="s">
        <v>6</v>
      </c>
    </row>
    <row r="5" spans="1:40" s="375" customFormat="1" ht="24" customHeight="1">
      <c r="A5" s="376" t="s">
        <v>7</v>
      </c>
      <c r="B5" s="376" t="s">
        <v>8</v>
      </c>
      <c r="C5" s="377">
        <v>1</v>
      </c>
      <c r="D5" s="377">
        <v>2</v>
      </c>
      <c r="E5" s="377">
        <v>3</v>
      </c>
      <c r="F5" s="377">
        <v>4</v>
      </c>
      <c r="G5" s="377">
        <v>5</v>
      </c>
      <c r="H5" s="758"/>
      <c r="I5" s="759"/>
      <c r="J5" s="759"/>
      <c r="K5" s="760"/>
      <c r="L5" s="761"/>
      <c r="M5" s="378" t="s">
        <v>9</v>
      </c>
    </row>
    <row r="6" spans="1:40" ht="24" customHeight="1">
      <c r="A6" s="379" t="s">
        <v>159</v>
      </c>
      <c r="B6" s="302">
        <v>5.45</v>
      </c>
      <c r="C6" s="506">
        <v>0.65</v>
      </c>
      <c r="D6" s="506">
        <v>0.7</v>
      </c>
      <c r="E6" s="506">
        <v>0.75</v>
      </c>
      <c r="F6" s="506">
        <v>0.8</v>
      </c>
      <c r="G6" s="506">
        <v>0.85</v>
      </c>
      <c r="H6" s="738" t="s">
        <v>203</v>
      </c>
      <c r="I6" s="739"/>
      <c r="J6" s="739"/>
      <c r="K6" s="740"/>
      <c r="L6" s="303">
        <v>4.8520000000000003</v>
      </c>
      <c r="M6" s="380">
        <f>IF(L6=0,"-",ROUND(L6*B6/B$72,4))</f>
        <v>0.3382</v>
      </c>
    </row>
    <row r="7" spans="1:40" ht="24" customHeight="1">
      <c r="A7" s="381" t="s">
        <v>144</v>
      </c>
      <c r="B7" s="382"/>
      <c r="C7" s="383"/>
      <c r="D7" s="383"/>
      <c r="E7" s="383"/>
      <c r="F7" s="383"/>
      <c r="G7" s="383"/>
      <c r="H7" s="762" t="s">
        <v>365</v>
      </c>
      <c r="I7" s="763"/>
      <c r="J7" s="763"/>
      <c r="K7" s="764"/>
      <c r="L7" s="384"/>
      <c r="M7" s="385"/>
      <c r="N7" s="375" t="s">
        <v>238</v>
      </c>
      <c r="O7" s="386" t="s">
        <v>164</v>
      </c>
      <c r="P7" s="375" t="s">
        <v>165</v>
      </c>
      <c r="Q7" s="375" t="s">
        <v>166</v>
      </c>
      <c r="R7" s="386" t="s">
        <v>167</v>
      </c>
      <c r="S7" s="386" t="s">
        <v>168</v>
      </c>
      <c r="T7" s="386" t="s">
        <v>169</v>
      </c>
      <c r="U7" s="386" t="s">
        <v>170</v>
      </c>
      <c r="V7" s="386" t="s">
        <v>171</v>
      </c>
      <c r="W7" s="375" t="s">
        <v>172</v>
      </c>
      <c r="X7" s="386" t="s">
        <v>173</v>
      </c>
      <c r="Y7" s="386" t="s">
        <v>174</v>
      </c>
      <c r="Z7" s="375" t="s">
        <v>175</v>
      </c>
      <c r="AA7" s="386" t="s">
        <v>176</v>
      </c>
      <c r="AB7" s="386" t="s">
        <v>178</v>
      </c>
      <c r="AC7" s="375" t="s">
        <v>192</v>
      </c>
      <c r="AD7" s="375" t="s">
        <v>239</v>
      </c>
      <c r="AE7" s="375" t="s">
        <v>240</v>
      </c>
    </row>
    <row r="8" spans="1:40" ht="24" customHeight="1">
      <c r="A8" s="381"/>
      <c r="B8" s="382"/>
      <c r="C8" s="383"/>
      <c r="D8" s="383"/>
      <c r="E8" s="383"/>
      <c r="F8" s="383"/>
      <c r="G8" s="383"/>
      <c r="H8" s="762" t="s">
        <v>204</v>
      </c>
      <c r="I8" s="763"/>
      <c r="J8" s="763"/>
      <c r="K8" s="764"/>
      <c r="L8" s="384"/>
      <c r="M8" s="385"/>
      <c r="AI8" s="444" t="s">
        <v>241</v>
      </c>
      <c r="AJ8" s="388" t="s">
        <v>14</v>
      </c>
      <c r="AK8" s="389" t="s">
        <v>242</v>
      </c>
      <c r="AL8" s="390" t="s">
        <v>243</v>
      </c>
      <c r="AM8" s="391"/>
      <c r="AN8" s="391" t="s">
        <v>244</v>
      </c>
    </row>
    <row r="9" spans="1:40" ht="24" customHeight="1">
      <c r="A9" s="381"/>
      <c r="B9" s="382"/>
      <c r="C9" s="383"/>
      <c r="D9" s="383"/>
      <c r="E9" s="383"/>
      <c r="F9" s="383"/>
      <c r="G9" s="383"/>
      <c r="H9" s="762" t="s">
        <v>205</v>
      </c>
      <c r="I9" s="763"/>
      <c r="J9" s="763"/>
      <c r="K9" s="764"/>
      <c r="L9" s="384"/>
      <c r="M9" s="385"/>
      <c r="N9" s="392">
        <f>SUM(O9:AB9)</f>
        <v>2754.9592476500002</v>
      </c>
      <c r="O9" s="393">
        <v>63.05</v>
      </c>
      <c r="P9" s="393">
        <v>363.36509999999998</v>
      </c>
      <c r="Q9" s="393">
        <v>157.61449099999999</v>
      </c>
      <c r="R9" s="393">
        <v>122.296868</v>
      </c>
      <c r="S9" s="393"/>
      <c r="T9" s="393">
        <v>687.09411299999999</v>
      </c>
      <c r="U9" s="394">
        <v>432.493359</v>
      </c>
      <c r="V9" s="393"/>
      <c r="W9" s="393">
        <v>567.82270000000005</v>
      </c>
      <c r="X9" s="393">
        <v>128.228759</v>
      </c>
      <c r="Y9" s="393">
        <v>39.988</v>
      </c>
      <c r="AA9" s="326">
        <v>103.4341</v>
      </c>
      <c r="AB9" s="393">
        <v>89.571757649999995</v>
      </c>
      <c r="AC9" s="368">
        <f>SUM(O9:AB9)</f>
        <v>2754.9592476500002</v>
      </c>
      <c r="AE9" s="368">
        <f>AC9</f>
        <v>2754.9592476500002</v>
      </c>
      <c r="AI9" s="395">
        <v>1</v>
      </c>
      <c r="AJ9" s="396" t="s">
        <v>245</v>
      </c>
      <c r="AK9" s="397">
        <v>172677500</v>
      </c>
      <c r="AL9" s="398">
        <v>13.36</v>
      </c>
      <c r="AM9" s="399" t="e">
        <f t="shared" ref="AM9:AM26" si="0">AL9*AK9/$C$13</f>
        <v>#DIV/0!</v>
      </c>
      <c r="AN9" s="399">
        <f>AL9*AK9/AK9</f>
        <v>13.36</v>
      </c>
    </row>
    <row r="10" spans="1:40" ht="24" customHeight="1">
      <c r="A10" s="381"/>
      <c r="B10" s="382"/>
      <c r="C10" s="383"/>
      <c r="D10" s="383"/>
      <c r="E10" s="383"/>
      <c r="F10" s="383"/>
      <c r="G10" s="383"/>
      <c r="I10" s="400" t="s">
        <v>54</v>
      </c>
      <c r="J10" s="472">
        <v>84.26</v>
      </c>
      <c r="K10" s="573" t="s">
        <v>51</v>
      </c>
      <c r="L10" s="384"/>
      <c r="M10" s="385"/>
      <c r="N10" s="368">
        <f>(O10*O9+P10*P9+Q10*Q9+R10*R9+S10*S9+T10*T9+U10*U9+V10*V9+W10*W9+X10*X9+Y10*Y9+Z10*Z9+AA10*AA9+AB10*AB9)/N9</f>
        <v>84.754654906071266</v>
      </c>
      <c r="O10" s="393">
        <v>100</v>
      </c>
      <c r="P10" s="393">
        <v>63.46</v>
      </c>
      <c r="Q10" s="393">
        <v>51.39</v>
      </c>
      <c r="R10" s="393">
        <v>100</v>
      </c>
      <c r="S10" s="393"/>
      <c r="T10" s="393">
        <v>100</v>
      </c>
      <c r="U10" s="393">
        <v>98.85</v>
      </c>
      <c r="V10" s="393"/>
      <c r="W10" s="401">
        <v>77.599999999999994</v>
      </c>
      <c r="X10" s="393">
        <v>66.87</v>
      </c>
      <c r="Y10" s="393">
        <v>100</v>
      </c>
      <c r="AA10" s="393">
        <v>71.75</v>
      </c>
      <c r="AB10" s="393">
        <v>92.47</v>
      </c>
      <c r="AC10" s="402">
        <f>J10</f>
        <v>84.26</v>
      </c>
      <c r="AE10" s="402">
        <f>J10</f>
        <v>84.26</v>
      </c>
      <c r="AI10" s="395">
        <v>2</v>
      </c>
      <c r="AJ10" s="396" t="s">
        <v>246</v>
      </c>
      <c r="AK10" s="397">
        <v>525283600</v>
      </c>
      <c r="AL10" s="398">
        <v>35.229999999999997</v>
      </c>
      <c r="AM10" s="399" t="e">
        <f t="shared" si="0"/>
        <v>#DIV/0!</v>
      </c>
      <c r="AN10" s="399">
        <f t="shared" ref="AN10:AN24" si="1">(AL10*AK10/AK10)</f>
        <v>35.229999999999997</v>
      </c>
    </row>
    <row r="11" spans="1:40" ht="24" customHeight="1">
      <c r="A11" s="507"/>
      <c r="B11" s="508"/>
      <c r="C11" s="509"/>
      <c r="D11" s="509"/>
      <c r="E11" s="509"/>
      <c r="F11" s="509"/>
      <c r="G11" s="509"/>
      <c r="H11" s="768"/>
      <c r="I11" s="769"/>
      <c r="J11" s="769"/>
      <c r="K11" s="770"/>
      <c r="L11" s="510"/>
      <c r="M11" s="376"/>
      <c r="AE11" s="368" t="s">
        <v>20</v>
      </c>
      <c r="AI11" s="395"/>
      <c r="AJ11" s="396" t="s">
        <v>247</v>
      </c>
      <c r="AK11" s="397">
        <v>63771100</v>
      </c>
      <c r="AL11" s="398">
        <v>0.28000000000000003</v>
      </c>
      <c r="AM11" s="399" t="e">
        <f t="shared" si="0"/>
        <v>#DIV/0!</v>
      </c>
      <c r="AN11" s="399"/>
    </row>
    <row r="12" spans="1:40" ht="24" customHeight="1">
      <c r="A12" s="379" t="s">
        <v>145</v>
      </c>
      <c r="B12" s="302">
        <v>16.36</v>
      </c>
      <c r="C12" s="506">
        <v>0.69</v>
      </c>
      <c r="D12" s="506">
        <v>0.72</v>
      </c>
      <c r="E12" s="506">
        <v>0.75</v>
      </c>
      <c r="F12" s="506">
        <v>0.78</v>
      </c>
      <c r="G12" s="506">
        <v>0.81</v>
      </c>
      <c r="H12" s="739" t="s">
        <v>206</v>
      </c>
      <c r="I12" s="739"/>
      <c r="J12" s="739"/>
      <c r="K12" s="740"/>
      <c r="L12" s="303">
        <v>5</v>
      </c>
      <c r="M12" s="380">
        <f>IF(L12=0,"-",ROUND(L12*B12/B$72,4))</f>
        <v>1.0462</v>
      </c>
      <c r="P12" s="368" t="s">
        <v>177</v>
      </c>
      <c r="Q12" s="368">
        <v>88227925</v>
      </c>
      <c r="R12" s="368">
        <v>454314777</v>
      </c>
      <c r="S12" s="368">
        <v>163703662</v>
      </c>
      <c r="T12" s="368">
        <v>340069114</v>
      </c>
      <c r="V12" s="368">
        <v>145609485</v>
      </c>
      <c r="W12" s="368">
        <v>376474997</v>
      </c>
      <c r="X12" s="368">
        <v>154664423</v>
      </c>
      <c r="Y12" s="368">
        <v>364453100</v>
      </c>
      <c r="Z12" s="368">
        <v>301496841</v>
      </c>
      <c r="AA12" s="368">
        <v>117859601</v>
      </c>
      <c r="AB12" s="368">
        <v>103922683</v>
      </c>
      <c r="AC12" s="368">
        <v>110709100</v>
      </c>
      <c r="AD12" s="368">
        <v>396724840</v>
      </c>
      <c r="AE12" s="368">
        <f>Q12+R12+S12+T12+V12+W12+X12+Y12+Z12+AA12+AB12+AC12+AD12</f>
        <v>3118230548</v>
      </c>
      <c r="AI12" s="395"/>
      <c r="AJ12" s="396" t="s">
        <v>248</v>
      </c>
      <c r="AK12" s="397">
        <v>85121200</v>
      </c>
      <c r="AL12" s="398">
        <v>2.0499999999999998</v>
      </c>
      <c r="AM12" s="399" t="e">
        <f t="shared" si="0"/>
        <v>#DIV/0!</v>
      </c>
      <c r="AN12" s="399"/>
    </row>
    <row r="13" spans="1:40" ht="24" customHeight="1">
      <c r="A13" s="381" t="s">
        <v>21</v>
      </c>
      <c r="B13" s="382"/>
      <c r="C13" s="383"/>
      <c r="D13" s="383"/>
      <c r="E13" s="383"/>
      <c r="F13" s="383"/>
      <c r="G13" s="383"/>
      <c r="H13" s="762" t="s">
        <v>207</v>
      </c>
      <c r="I13" s="763"/>
      <c r="J13" s="763"/>
      <c r="K13" s="764"/>
      <c r="L13" s="384"/>
      <c r="M13" s="385"/>
      <c r="P13" s="368" t="s">
        <v>179</v>
      </c>
      <c r="Q13" s="368">
        <v>62767727</v>
      </c>
      <c r="R13" s="368">
        <v>213672936</v>
      </c>
      <c r="S13" s="368">
        <v>25795924</v>
      </c>
      <c r="T13" s="368">
        <v>114556854</v>
      </c>
      <c r="V13" s="368">
        <v>128932639</v>
      </c>
      <c r="W13" s="368">
        <v>336587666</v>
      </c>
      <c r="X13" s="368">
        <v>52373847</v>
      </c>
      <c r="Y13" s="368">
        <v>90762837</v>
      </c>
      <c r="Z13" s="368">
        <v>241819557</v>
      </c>
      <c r="AA13" s="368">
        <v>53872593</v>
      </c>
      <c r="AB13" s="368">
        <v>20156387</v>
      </c>
      <c r="AC13" s="368">
        <v>73919342</v>
      </c>
      <c r="AD13" s="368">
        <v>64957443</v>
      </c>
      <c r="AE13" s="403">
        <f>Q13+R13+S13+T13+V13+W13+X13+Y13+Z13+AA13+AB13+AC13+AD13</f>
        <v>1480175752</v>
      </c>
      <c r="AI13" s="395"/>
      <c r="AJ13" s="396" t="s">
        <v>249</v>
      </c>
      <c r="AK13" s="397">
        <v>115875000</v>
      </c>
      <c r="AL13" s="398">
        <v>0</v>
      </c>
      <c r="AM13" s="399" t="e">
        <f t="shared" si="0"/>
        <v>#DIV/0!</v>
      </c>
      <c r="AN13" s="399"/>
    </row>
    <row r="14" spans="1:40" ht="24" customHeight="1">
      <c r="A14" s="381"/>
      <c r="B14" s="382"/>
      <c r="C14" s="383"/>
      <c r="D14" s="383"/>
      <c r="E14" s="383"/>
      <c r="F14" s="383"/>
      <c r="G14" s="383"/>
      <c r="H14" s="762" t="s">
        <v>299</v>
      </c>
      <c r="I14" s="763"/>
      <c r="J14" s="763"/>
      <c r="K14" s="764"/>
      <c r="L14" s="384"/>
      <c r="M14" s="385"/>
      <c r="P14" s="368" t="s">
        <v>194</v>
      </c>
      <c r="Q14" s="368">
        <v>19.71</v>
      </c>
      <c r="R14" s="368">
        <v>38.619999999999997</v>
      </c>
      <c r="S14" s="368">
        <v>5.8</v>
      </c>
      <c r="T14" s="368">
        <v>21.95</v>
      </c>
      <c r="AE14" s="404">
        <f>(AE13/AE12)*100</f>
        <v>47.468451393030229</v>
      </c>
      <c r="AI14" s="395">
        <v>4</v>
      </c>
      <c r="AJ14" s="396" t="s">
        <v>250</v>
      </c>
      <c r="AK14" s="397">
        <v>1039701600</v>
      </c>
      <c r="AL14" s="398">
        <v>5.62</v>
      </c>
      <c r="AM14" s="399" t="e">
        <f t="shared" si="0"/>
        <v>#DIV/0!</v>
      </c>
      <c r="AN14" s="399">
        <f t="shared" si="1"/>
        <v>5.62</v>
      </c>
    </row>
    <row r="15" spans="1:40" ht="24" customHeight="1">
      <c r="A15" s="381"/>
      <c r="B15" s="382"/>
      <c r="C15" s="383"/>
      <c r="D15" s="383"/>
      <c r="E15" s="383"/>
      <c r="F15" s="383"/>
      <c r="G15" s="383"/>
      <c r="H15" s="577"/>
      <c r="I15" s="400" t="s">
        <v>199</v>
      </c>
      <c r="J15" s="472">
        <v>99.87</v>
      </c>
      <c r="K15" s="573" t="s">
        <v>51</v>
      </c>
      <c r="L15" s="384"/>
      <c r="M15" s="385"/>
      <c r="Q15" s="368">
        <f>(Q12*Q14)/AE12</f>
        <v>0.55767922704283635</v>
      </c>
      <c r="R15" s="368">
        <f>(R12*R14)/AE12</f>
        <v>5.6267926369310901</v>
      </c>
      <c r="S15" s="368">
        <f>(S12*S14)/AE12</f>
        <v>0.3044935982071586</v>
      </c>
      <c r="T15" s="368">
        <f>(T12*T14)/AE12</f>
        <v>2.3938310325026038</v>
      </c>
      <c r="V15" s="368">
        <f>(V12*V14)/AE12</f>
        <v>0</v>
      </c>
      <c r="W15" s="368">
        <f>(W12*W14)/AE12</f>
        <v>0</v>
      </c>
      <c r="X15" s="368">
        <f>(X12*X14)/AE12</f>
        <v>0</v>
      </c>
      <c r="Y15" s="368">
        <f>(Y12*Y14)/AE12</f>
        <v>0</v>
      </c>
      <c r="Z15" s="368">
        <f>(Z12*Z14)/AE12</f>
        <v>0</v>
      </c>
      <c r="AA15" s="368">
        <f>(AA12*AA14)/AE12</f>
        <v>0</v>
      </c>
      <c r="AB15" s="368">
        <f>(AB12*AB14)/AE12</f>
        <v>0</v>
      </c>
      <c r="AC15" s="368">
        <f>(AC12*AC14)/AE12</f>
        <v>0</v>
      </c>
      <c r="AD15" s="368">
        <f>(AD12*AD14)/AE12</f>
        <v>0</v>
      </c>
      <c r="AE15" s="368">
        <f>(Q15+R15+S15+T15+V15+W15+X15+Y15+Z15+AA15+AB15+AC15+AD15)/AE12</f>
        <v>2.8486657281903096E-9</v>
      </c>
      <c r="AI15" s="395">
        <v>5</v>
      </c>
      <c r="AJ15" s="396" t="s">
        <v>251</v>
      </c>
      <c r="AK15" s="397">
        <v>636679600</v>
      </c>
      <c r="AL15" s="398">
        <v>13.07</v>
      </c>
      <c r="AM15" s="399" t="e">
        <f t="shared" si="0"/>
        <v>#DIV/0!</v>
      </c>
      <c r="AN15" s="399">
        <f t="shared" si="1"/>
        <v>13.07</v>
      </c>
    </row>
    <row r="16" spans="1:40" ht="24" customHeight="1">
      <c r="A16" s="507"/>
      <c r="B16" s="508"/>
      <c r="C16" s="509"/>
      <c r="D16" s="509"/>
      <c r="E16" s="509"/>
      <c r="F16" s="509"/>
      <c r="G16" s="509"/>
      <c r="H16" s="511"/>
      <c r="I16" s="512"/>
      <c r="J16" s="513"/>
      <c r="K16" s="514"/>
      <c r="L16" s="510"/>
      <c r="M16" s="376"/>
      <c r="S16" s="368">
        <v>278676</v>
      </c>
      <c r="AI16" s="395">
        <v>8</v>
      </c>
      <c r="AJ16" s="396" t="s">
        <v>252</v>
      </c>
      <c r="AK16" s="397">
        <v>168866326</v>
      </c>
      <c r="AL16" s="398">
        <v>25.53</v>
      </c>
      <c r="AM16" s="399" t="e">
        <f t="shared" si="0"/>
        <v>#DIV/0!</v>
      </c>
      <c r="AN16" s="399">
        <f t="shared" si="1"/>
        <v>25.529999999999998</v>
      </c>
    </row>
    <row r="17" spans="1:40" ht="24" hidden="1" customHeight="1">
      <c r="A17" s="379" t="s">
        <v>146</v>
      </c>
      <c r="B17" s="302">
        <v>0</v>
      </c>
      <c r="C17" s="405">
        <v>0.92</v>
      </c>
      <c r="D17" s="405">
        <v>0.94</v>
      </c>
      <c r="E17" s="405">
        <v>0.96</v>
      </c>
      <c r="F17" s="405">
        <v>0.98</v>
      </c>
      <c r="G17" s="405">
        <v>1</v>
      </c>
      <c r="H17" s="738" t="s">
        <v>337</v>
      </c>
      <c r="I17" s="739"/>
      <c r="J17" s="739"/>
      <c r="K17" s="740"/>
      <c r="L17" s="303">
        <v>1</v>
      </c>
      <c r="M17" s="380">
        <f>IF(L17=0,"-",ROUND(L17*B17/B$72,4))</f>
        <v>0</v>
      </c>
      <c r="S17" s="368">
        <v>6516821</v>
      </c>
      <c r="AI17" s="395">
        <v>9</v>
      </c>
      <c r="AJ17" s="396" t="s">
        <v>253</v>
      </c>
      <c r="AK17" s="397">
        <v>189999700</v>
      </c>
      <c r="AL17" s="398">
        <v>3.53</v>
      </c>
      <c r="AM17" s="399" t="e">
        <f t="shared" si="0"/>
        <v>#DIV/0!</v>
      </c>
      <c r="AN17" s="399">
        <f>(AL17*AK17/(AK17+AK18+AK19))+(AL18*AK18/(AK17+AK18+AK19))+(AL19*AK19/(AK17+AK18+AK19))</f>
        <v>17.929695702793666</v>
      </c>
    </row>
    <row r="18" spans="1:40" ht="24" hidden="1" customHeight="1">
      <c r="A18" s="381" t="s">
        <v>23</v>
      </c>
      <c r="B18" s="382"/>
      <c r="C18" s="383"/>
      <c r="D18" s="383"/>
      <c r="E18" s="383"/>
      <c r="F18" s="383"/>
      <c r="G18" s="383"/>
      <c r="H18" s="762" t="s">
        <v>338</v>
      </c>
      <c r="I18" s="763"/>
      <c r="J18" s="763"/>
      <c r="K18" s="764"/>
      <c r="L18" s="384"/>
      <c r="M18" s="385"/>
      <c r="S18" s="368">
        <v>59800</v>
      </c>
      <c r="AI18" s="395"/>
      <c r="AJ18" s="396" t="s">
        <v>254</v>
      </c>
      <c r="AK18" s="397">
        <v>93741300</v>
      </c>
      <c r="AL18" s="398">
        <v>63.29</v>
      </c>
      <c r="AM18" s="399" t="e">
        <f t="shared" si="0"/>
        <v>#DIV/0!</v>
      </c>
      <c r="AN18" s="399"/>
    </row>
    <row r="19" spans="1:40" ht="24" hidden="1" customHeight="1">
      <c r="A19" s="381" t="s">
        <v>24</v>
      </c>
      <c r="B19" s="382"/>
      <c r="C19" s="383"/>
      <c r="D19" s="383"/>
      <c r="E19" s="383"/>
      <c r="F19" s="383"/>
      <c r="G19" s="383"/>
      <c r="H19" s="762" t="s">
        <v>339</v>
      </c>
      <c r="I19" s="763"/>
      <c r="J19" s="763"/>
      <c r="K19" s="764"/>
      <c r="L19" s="384"/>
      <c r="M19" s="385"/>
      <c r="S19" s="368">
        <v>709266</v>
      </c>
      <c r="AI19" s="395"/>
      <c r="AJ19" s="396" t="s">
        <v>255</v>
      </c>
      <c r="AK19" s="397">
        <v>84563400</v>
      </c>
      <c r="AL19" s="398">
        <v>0</v>
      </c>
      <c r="AM19" s="399" t="e">
        <f t="shared" si="0"/>
        <v>#DIV/0!</v>
      </c>
      <c r="AN19" s="399"/>
    </row>
    <row r="20" spans="1:40" ht="24" hidden="1" customHeight="1">
      <c r="A20" s="381"/>
      <c r="B20" s="382"/>
      <c r="C20" s="383"/>
      <c r="D20" s="383"/>
      <c r="E20" s="383"/>
      <c r="F20" s="383"/>
      <c r="G20" s="383"/>
      <c r="H20" s="762" t="s">
        <v>200</v>
      </c>
      <c r="I20" s="763"/>
      <c r="J20" s="763"/>
      <c r="K20" s="764"/>
      <c r="L20" s="384"/>
      <c r="M20" s="385"/>
      <c r="S20" s="368">
        <v>10951834</v>
      </c>
      <c r="W20" s="368">
        <v>304044</v>
      </c>
      <c r="X20" s="368">
        <v>12443540</v>
      </c>
      <c r="Z20" s="368">
        <v>12690293</v>
      </c>
      <c r="AD20" s="368">
        <v>16191016</v>
      </c>
      <c r="AI20" s="395">
        <v>10</v>
      </c>
      <c r="AJ20" s="396" t="s">
        <v>256</v>
      </c>
      <c r="AK20" s="397">
        <v>305794900</v>
      </c>
      <c r="AL20" s="398">
        <v>18.23</v>
      </c>
      <c r="AM20" s="399" t="e">
        <f t="shared" si="0"/>
        <v>#DIV/0!</v>
      </c>
      <c r="AN20" s="399">
        <f>(AL20*AK20/AK20)</f>
        <v>18.23</v>
      </c>
    </row>
    <row r="21" spans="1:40" ht="24" hidden="1" customHeight="1">
      <c r="A21" s="381"/>
      <c r="B21" s="382"/>
      <c r="C21" s="383"/>
      <c r="D21" s="383"/>
      <c r="E21" s="383"/>
      <c r="F21" s="383"/>
      <c r="G21" s="406"/>
      <c r="H21" s="571"/>
      <c r="I21" s="400" t="s">
        <v>56</v>
      </c>
      <c r="J21" s="412" t="s">
        <v>11</v>
      </c>
      <c r="K21" s="573" t="s">
        <v>51</v>
      </c>
      <c r="L21" s="384"/>
      <c r="M21" s="385"/>
      <c r="R21" s="368">
        <v>56733046</v>
      </c>
      <c r="S21" s="368">
        <v>5889465</v>
      </c>
      <c r="W21" s="368">
        <v>30532275</v>
      </c>
      <c r="X21" s="368">
        <v>53677410</v>
      </c>
      <c r="Z21" s="368">
        <v>117214623</v>
      </c>
      <c r="AD21" s="368">
        <v>2637840</v>
      </c>
      <c r="AI21" s="395">
        <v>11</v>
      </c>
      <c r="AJ21" s="396" t="s">
        <v>340</v>
      </c>
      <c r="AK21" s="397">
        <v>42503515</v>
      </c>
      <c r="AL21" s="398">
        <v>20.47</v>
      </c>
      <c r="AM21" s="399" t="e">
        <f t="shared" si="0"/>
        <v>#DIV/0!</v>
      </c>
      <c r="AN21" s="399">
        <f>(AL21*AK21/(AK21+AK22+AK23))+(AL22*AK22/(AK21+AK22+AK23))+(AL23*AK23/(AK21+AK22+AK23))</f>
        <v>4.6376866528108467</v>
      </c>
    </row>
    <row r="22" spans="1:40" ht="24" hidden="1" customHeight="1">
      <c r="A22" s="381"/>
      <c r="B22" s="382"/>
      <c r="C22" s="383"/>
      <c r="D22" s="383"/>
      <c r="E22" s="383"/>
      <c r="F22" s="383"/>
      <c r="G22" s="383"/>
      <c r="H22" s="424"/>
      <c r="I22" s="425"/>
      <c r="J22" s="425"/>
      <c r="K22" s="426"/>
      <c r="L22" s="384"/>
      <c r="M22" s="385"/>
      <c r="AI22" s="395"/>
      <c r="AJ22" s="396" t="s">
        <v>257</v>
      </c>
      <c r="AK22" s="397">
        <v>391412000</v>
      </c>
      <c r="AL22" s="398">
        <v>0</v>
      </c>
      <c r="AM22" s="399" t="e">
        <f t="shared" si="0"/>
        <v>#DIV/0!</v>
      </c>
      <c r="AN22" s="399"/>
    </row>
    <row r="23" spans="1:40" ht="24" customHeight="1">
      <c r="A23" s="379" t="s">
        <v>147</v>
      </c>
      <c r="B23" s="302">
        <v>5.45</v>
      </c>
      <c r="C23" s="405">
        <v>0.96</v>
      </c>
      <c r="D23" s="405">
        <v>0.97</v>
      </c>
      <c r="E23" s="405">
        <v>0.98</v>
      </c>
      <c r="F23" s="405">
        <v>0.99</v>
      </c>
      <c r="G23" s="405">
        <v>1</v>
      </c>
      <c r="H23" s="738" t="s">
        <v>300</v>
      </c>
      <c r="I23" s="739"/>
      <c r="J23" s="739"/>
      <c r="K23" s="740"/>
      <c r="L23" s="303">
        <v>5</v>
      </c>
      <c r="M23" s="380">
        <f>IF(L23=0,"-",ROUND(L23*B23/B$72,4))</f>
        <v>0.34849999999999998</v>
      </c>
      <c r="Q23" s="368" t="s">
        <v>164</v>
      </c>
      <c r="R23" s="368" t="s">
        <v>165</v>
      </c>
      <c r="S23" s="368" t="s">
        <v>166</v>
      </c>
      <c r="T23" s="368" t="s">
        <v>167</v>
      </c>
      <c r="U23" s="368" t="s">
        <v>168</v>
      </c>
      <c r="V23" s="368" t="s">
        <v>169</v>
      </c>
      <c r="W23" s="368" t="s">
        <v>170</v>
      </c>
      <c r="X23" s="368" t="s">
        <v>171</v>
      </c>
      <c r="Y23" s="368" t="s">
        <v>172</v>
      </c>
      <c r="Z23" s="368" t="s">
        <v>173</v>
      </c>
      <c r="AA23" s="368" t="s">
        <v>174</v>
      </c>
      <c r="AB23" s="368" t="s">
        <v>175</v>
      </c>
      <c r="AC23" s="368" t="s">
        <v>176</v>
      </c>
      <c r="AD23" s="368" t="s">
        <v>178</v>
      </c>
      <c r="AE23" s="368" t="s">
        <v>20</v>
      </c>
      <c r="AI23" s="395"/>
      <c r="AJ23" s="396" t="s">
        <v>258</v>
      </c>
      <c r="AK23" s="397">
        <v>72151000</v>
      </c>
      <c r="AL23" s="398">
        <v>20.47</v>
      </c>
      <c r="AM23" s="399" t="e">
        <f t="shared" si="0"/>
        <v>#DIV/0!</v>
      </c>
      <c r="AN23" s="399"/>
    </row>
    <row r="24" spans="1:40" ht="24" customHeight="1">
      <c r="A24" s="381" t="s">
        <v>26</v>
      </c>
      <c r="B24" s="382"/>
      <c r="C24" s="383"/>
      <c r="D24" s="383"/>
      <c r="E24" s="383"/>
      <c r="F24" s="383"/>
      <c r="G24" s="383"/>
      <c r="H24" s="765" t="s">
        <v>301</v>
      </c>
      <c r="I24" s="766"/>
      <c r="J24" s="766"/>
      <c r="K24" s="767"/>
      <c r="L24" s="384"/>
      <c r="M24" s="385"/>
      <c r="P24" s="368" t="s">
        <v>179</v>
      </c>
      <c r="Q24" s="368">
        <v>0</v>
      </c>
      <c r="R24" s="368" t="e">
        <f>R26+#REF!</f>
        <v>#REF!</v>
      </c>
      <c r="S24" s="368" t="e">
        <f>S26+#REF!+S27+S28+S29+S30+S31+S32</f>
        <v>#REF!</v>
      </c>
      <c r="T24" s="368">
        <v>15621046</v>
      </c>
      <c r="W24" s="368" t="e">
        <f>W26+#REF!</f>
        <v>#REF!</v>
      </c>
      <c r="X24" s="368" t="e">
        <f>X26+#REF!</f>
        <v>#REF!</v>
      </c>
      <c r="Y24" s="368">
        <v>3065219</v>
      </c>
      <c r="Z24" s="368" t="e">
        <f>Z26+#REF!</f>
        <v>#REF!</v>
      </c>
      <c r="AA24" s="368">
        <v>5762411</v>
      </c>
      <c r="AB24" s="368">
        <v>15507983</v>
      </c>
      <c r="AD24" s="368" t="e">
        <f>AD26+#REF!</f>
        <v>#REF!</v>
      </c>
      <c r="AE24" s="368" t="e">
        <f>Q24+R24+S24+T24+W24+X24+Y24+AA24+AB24+AD24</f>
        <v>#REF!</v>
      </c>
      <c r="AF24" s="368" t="e">
        <f>AE24/AE25*100</f>
        <v>#REF!</v>
      </c>
      <c r="AG24" s="368" t="e">
        <f>R24+T24+W24+X24+Y24+Z24+AA24+AB24+AD24</f>
        <v>#REF!</v>
      </c>
      <c r="AH24" s="368" t="e">
        <f>AG24/AG25*100</f>
        <v>#REF!</v>
      </c>
      <c r="AI24" s="395">
        <v>12</v>
      </c>
      <c r="AJ24" s="396" t="s">
        <v>259</v>
      </c>
      <c r="AK24" s="397">
        <v>232129108</v>
      </c>
      <c r="AL24" s="398">
        <v>8.2200000000000006</v>
      </c>
      <c r="AM24" s="399" t="e">
        <f t="shared" si="0"/>
        <v>#DIV/0!</v>
      </c>
      <c r="AN24" s="399">
        <f t="shared" si="1"/>
        <v>8.2200000000000006</v>
      </c>
    </row>
    <row r="25" spans="1:40" ht="24" customHeight="1">
      <c r="A25" s="381"/>
      <c r="B25" s="382"/>
      <c r="C25" s="383"/>
      <c r="D25" s="383"/>
      <c r="E25" s="383"/>
      <c r="F25" s="383"/>
      <c r="G25" s="383"/>
      <c r="H25" s="765" t="s">
        <v>302</v>
      </c>
      <c r="I25" s="766"/>
      <c r="J25" s="766"/>
      <c r="K25" s="767"/>
      <c r="L25" s="384"/>
      <c r="M25" s="385"/>
      <c r="P25" s="368" t="s">
        <v>177</v>
      </c>
      <c r="Q25" s="368">
        <v>0</v>
      </c>
      <c r="R25" s="368">
        <f>R21+R20</f>
        <v>56733046</v>
      </c>
      <c r="S25" s="368" t="e">
        <f>S21+S20+S19+S18+S17+S16+#REF!+#REF!</f>
        <v>#REF!</v>
      </c>
      <c r="T25" s="368">
        <v>31415454</v>
      </c>
      <c r="W25" s="368">
        <f>W21+W20</f>
        <v>30836319</v>
      </c>
      <c r="X25" s="368">
        <f>X21+X20</f>
        <v>66120950</v>
      </c>
      <c r="Y25" s="368">
        <v>3065219</v>
      </c>
      <c r="Z25" s="368">
        <f>Z21+Z20</f>
        <v>129904916</v>
      </c>
      <c r="AA25" s="368">
        <v>5836386</v>
      </c>
      <c r="AB25" s="368">
        <v>15507983</v>
      </c>
      <c r="AD25" s="368">
        <f>AD21+AD20</f>
        <v>18828856</v>
      </c>
      <c r="AE25" s="368" t="e">
        <f>Q25+R25+S25+T25+W25+X25+Y25+Z25+AA25+AB25+AD25</f>
        <v>#REF!</v>
      </c>
      <c r="AG25" s="368">
        <f>R25+T25+W25+X25+Y25+Z25+AA25+AB25</f>
        <v>339420273</v>
      </c>
      <c r="AI25" s="395">
        <v>13</v>
      </c>
      <c r="AJ25" s="396" t="s">
        <v>260</v>
      </c>
      <c r="AK25" s="397">
        <v>75897000</v>
      </c>
      <c r="AL25" s="398">
        <v>11.23</v>
      </c>
      <c r="AM25" s="399" t="e">
        <f t="shared" si="0"/>
        <v>#DIV/0!</v>
      </c>
      <c r="AN25" s="399" t="e">
        <f>(AL25*AK25/(AK25+AK26+#REF!))+(AL26*AK26/(AK25+AK26+#REF!))+(#REF!*#REF!/(AK25+AK26+#REF!))</f>
        <v>#REF!</v>
      </c>
    </row>
    <row r="26" spans="1:40" ht="24" customHeight="1">
      <c r="A26" s="381"/>
      <c r="B26" s="382"/>
      <c r="C26" s="383"/>
      <c r="D26" s="383"/>
      <c r="E26" s="383"/>
      <c r="F26" s="383"/>
      <c r="G26" s="383"/>
      <c r="H26" s="571"/>
      <c r="I26" s="400" t="s">
        <v>56</v>
      </c>
      <c r="J26" s="472">
        <v>100</v>
      </c>
      <c r="K26" s="573" t="s">
        <v>51</v>
      </c>
      <c r="L26" s="384"/>
      <c r="M26" s="385"/>
      <c r="R26" s="368">
        <v>790426</v>
      </c>
      <c r="S26" s="368">
        <v>5889465</v>
      </c>
      <c r="W26" s="368">
        <v>30532265</v>
      </c>
      <c r="X26" s="368">
        <v>45861247</v>
      </c>
      <c r="Z26" s="368">
        <v>117026964</v>
      </c>
      <c r="AD26" s="368">
        <v>7959313</v>
      </c>
      <c r="AI26" s="395"/>
      <c r="AJ26" s="396" t="s">
        <v>261</v>
      </c>
      <c r="AK26" s="397">
        <v>28808000</v>
      </c>
      <c r="AL26" s="398">
        <v>79.489999999999995</v>
      </c>
      <c r="AM26" s="399" t="e">
        <f t="shared" si="0"/>
        <v>#DIV/0!</v>
      </c>
      <c r="AN26" s="399"/>
    </row>
    <row r="27" spans="1:40" ht="24" customHeight="1">
      <c r="A27" s="507"/>
      <c r="B27" s="508"/>
      <c r="C27" s="509"/>
      <c r="D27" s="509"/>
      <c r="E27" s="509"/>
      <c r="F27" s="509"/>
      <c r="G27" s="509"/>
      <c r="H27" s="511"/>
      <c r="I27" s="587"/>
      <c r="J27" s="587"/>
      <c r="K27" s="588"/>
      <c r="L27" s="510"/>
      <c r="M27" s="376"/>
      <c r="S27" s="368">
        <v>673915</v>
      </c>
      <c r="AI27" s="771" t="s">
        <v>20</v>
      </c>
      <c r="AJ27" s="772"/>
      <c r="AK27" s="408">
        <f>SUM(AK9:AK26)</f>
        <v>4324975849</v>
      </c>
      <c r="AL27" s="409" t="e">
        <f>SUM(AM9:AM26)</f>
        <v>#DIV/0!</v>
      </c>
      <c r="AM27" s="399"/>
      <c r="AN27" s="399"/>
    </row>
    <row r="28" spans="1:40" ht="24" customHeight="1">
      <c r="A28" s="379" t="s">
        <v>148</v>
      </c>
      <c r="B28" s="302">
        <v>5.45</v>
      </c>
      <c r="C28" s="405">
        <v>0.96</v>
      </c>
      <c r="D28" s="405">
        <v>0.97</v>
      </c>
      <c r="E28" s="405">
        <v>0.98</v>
      </c>
      <c r="F28" s="405">
        <v>0.99</v>
      </c>
      <c r="G28" s="405">
        <v>1</v>
      </c>
      <c r="H28" s="779" t="s">
        <v>323</v>
      </c>
      <c r="I28" s="780"/>
      <c r="J28" s="780"/>
      <c r="K28" s="781"/>
      <c r="L28" s="303">
        <v>5</v>
      </c>
      <c r="M28" s="380">
        <f>IF(L28=0,"-",ROUND(L28*B28/B$72,4))</f>
        <v>0.34849999999999998</v>
      </c>
      <c r="S28" s="368">
        <v>59800</v>
      </c>
      <c r="AI28" s="430"/>
      <c r="AJ28" s="431"/>
      <c r="AK28" s="432"/>
      <c r="AL28" s="433"/>
      <c r="AM28" s="434"/>
      <c r="AN28" s="434"/>
    </row>
    <row r="29" spans="1:40" ht="24" customHeight="1">
      <c r="A29" s="381" t="s">
        <v>28</v>
      </c>
      <c r="B29" s="382"/>
      <c r="C29" s="383"/>
      <c r="D29" s="383"/>
      <c r="E29" s="383"/>
      <c r="F29" s="383"/>
      <c r="G29" s="383"/>
      <c r="H29" s="762" t="s">
        <v>324</v>
      </c>
      <c r="I29" s="763"/>
      <c r="J29" s="763"/>
      <c r="K29" s="764"/>
      <c r="L29" s="384"/>
      <c r="M29" s="385"/>
      <c r="S29" s="368">
        <v>921324</v>
      </c>
      <c r="AI29" s="430"/>
      <c r="AJ29" s="431"/>
      <c r="AK29" s="432"/>
      <c r="AL29" s="433"/>
      <c r="AM29" s="434"/>
      <c r="AN29" s="434"/>
    </row>
    <row r="30" spans="1:40" ht="24" customHeight="1">
      <c r="A30" s="381" t="s">
        <v>60</v>
      </c>
      <c r="B30" s="382"/>
      <c r="C30" s="383"/>
      <c r="D30" s="383"/>
      <c r="E30" s="383"/>
      <c r="F30" s="383"/>
      <c r="G30" s="383"/>
      <c r="H30" s="762" t="s">
        <v>325</v>
      </c>
      <c r="I30" s="763"/>
      <c r="J30" s="763"/>
      <c r="K30" s="764"/>
      <c r="L30" s="384"/>
      <c r="M30" s="385"/>
      <c r="S30" s="368">
        <v>278675</v>
      </c>
      <c r="AI30" s="444" t="s">
        <v>263</v>
      </c>
      <c r="AJ30" s="435" t="s">
        <v>14</v>
      </c>
      <c r="AK30" s="436" t="s">
        <v>264</v>
      </c>
      <c r="AL30" s="437" t="s">
        <v>86</v>
      </c>
      <c r="AM30" s="438"/>
      <c r="AN30" s="438" t="s">
        <v>265</v>
      </c>
    </row>
    <row r="31" spans="1:40" ht="24" customHeight="1">
      <c r="A31" s="381"/>
      <c r="B31" s="382"/>
      <c r="C31" s="383"/>
      <c r="D31" s="383"/>
      <c r="E31" s="383"/>
      <c r="F31" s="383"/>
      <c r="G31" s="383"/>
      <c r="H31" s="577"/>
      <c r="I31" s="400" t="s">
        <v>66</v>
      </c>
      <c r="J31" s="591">
        <v>3</v>
      </c>
      <c r="K31" s="578" t="s">
        <v>61</v>
      </c>
      <c r="L31" s="384"/>
      <c r="M31" s="385"/>
      <c r="S31" s="368">
        <v>250781</v>
      </c>
      <c r="AI31" s="439">
        <v>2</v>
      </c>
      <c r="AJ31" s="440" t="s">
        <v>266</v>
      </c>
      <c r="AK31" s="441">
        <v>300000</v>
      </c>
      <c r="AL31" s="442">
        <v>25981.55</v>
      </c>
      <c r="AM31" s="443"/>
      <c r="AN31" s="443">
        <f>AL31*100/AK31</f>
        <v>8.6605166666666662</v>
      </c>
    </row>
    <row r="32" spans="1:40" ht="24" customHeight="1">
      <c r="A32" s="381"/>
      <c r="B32" s="382"/>
      <c r="C32" s="383"/>
      <c r="D32" s="383"/>
      <c r="E32" s="383"/>
      <c r="F32" s="383"/>
      <c r="G32" s="383"/>
      <c r="H32" s="577"/>
      <c r="I32" s="400" t="s">
        <v>67</v>
      </c>
      <c r="J32" s="591">
        <v>3</v>
      </c>
      <c r="K32" s="578" t="s">
        <v>61</v>
      </c>
      <c r="L32" s="384"/>
      <c r="M32" s="385"/>
      <c r="S32" s="368">
        <v>39205</v>
      </c>
      <c r="AI32" s="395">
        <v>3</v>
      </c>
      <c r="AJ32" s="396" t="s">
        <v>267</v>
      </c>
      <c r="AK32" s="397">
        <v>300000</v>
      </c>
      <c r="AL32" s="410">
        <v>26160</v>
      </c>
      <c r="AM32" s="411"/>
      <c r="AN32" s="411">
        <f t="shared" ref="AN32:AN45" si="2">AL32*100/AK32</f>
        <v>8.7200000000000006</v>
      </c>
    </row>
    <row r="33" spans="1:40" ht="24" customHeight="1">
      <c r="A33" s="381"/>
      <c r="B33" s="382"/>
      <c r="C33" s="383"/>
      <c r="D33" s="383"/>
      <c r="E33" s="383"/>
      <c r="F33" s="383"/>
      <c r="G33" s="383"/>
      <c r="H33" s="571"/>
      <c r="I33" s="589" t="s">
        <v>81</v>
      </c>
      <c r="J33" s="532">
        <f>J32*100/J31</f>
        <v>100</v>
      </c>
      <c r="K33" s="573" t="s">
        <v>51</v>
      </c>
      <c r="L33" s="384"/>
      <c r="M33" s="385"/>
      <c r="W33" s="368" t="e">
        <f>W24/W25*100</f>
        <v>#REF!</v>
      </c>
      <c r="AI33" s="395">
        <v>4</v>
      </c>
      <c r="AJ33" s="396" t="s">
        <v>268</v>
      </c>
      <c r="AK33" s="397">
        <v>500000</v>
      </c>
      <c r="AL33" s="410">
        <v>166219.85</v>
      </c>
      <c r="AM33" s="411"/>
      <c r="AN33" s="411">
        <f t="shared" si="2"/>
        <v>33.243969999999997</v>
      </c>
    </row>
    <row r="34" spans="1:40" ht="24" customHeight="1">
      <c r="A34" s="507"/>
      <c r="B34" s="508"/>
      <c r="C34" s="509"/>
      <c r="D34" s="509"/>
      <c r="E34" s="509"/>
      <c r="F34" s="509"/>
      <c r="G34" s="509"/>
      <c r="H34" s="773"/>
      <c r="I34" s="769"/>
      <c r="J34" s="769"/>
      <c r="K34" s="770"/>
      <c r="L34" s="510"/>
      <c r="M34" s="376"/>
      <c r="AI34" s="395">
        <v>6</v>
      </c>
      <c r="AJ34" s="396" t="s">
        <v>269</v>
      </c>
      <c r="AK34" s="397">
        <v>300000</v>
      </c>
      <c r="AL34" s="410">
        <v>49020</v>
      </c>
      <c r="AM34" s="411"/>
      <c r="AN34" s="411">
        <f t="shared" si="2"/>
        <v>16.34</v>
      </c>
    </row>
    <row r="35" spans="1:40" ht="24" customHeight="1">
      <c r="A35" s="379" t="s">
        <v>160</v>
      </c>
      <c r="B35" s="302">
        <v>5.45</v>
      </c>
      <c r="C35" s="405">
        <v>0.5</v>
      </c>
      <c r="D35" s="405">
        <v>0.75</v>
      </c>
      <c r="E35" s="405">
        <v>1</v>
      </c>
      <c r="F35" s="405">
        <v>1</v>
      </c>
      <c r="G35" s="405">
        <v>1</v>
      </c>
      <c r="H35" s="738" t="s">
        <v>309</v>
      </c>
      <c r="I35" s="739"/>
      <c r="J35" s="739"/>
      <c r="K35" s="740"/>
      <c r="L35" s="303">
        <v>1</v>
      </c>
      <c r="M35" s="380">
        <f>IF(L35=0,"-",ROUND(L35*B35/B$72,4))</f>
        <v>6.9699999999999998E-2</v>
      </c>
      <c r="AI35" s="395">
        <v>9</v>
      </c>
      <c r="AJ35" s="396" t="s">
        <v>271</v>
      </c>
      <c r="AK35" s="397">
        <v>300000</v>
      </c>
      <c r="AL35" s="410">
        <v>0</v>
      </c>
      <c r="AM35" s="411"/>
      <c r="AN35" s="411">
        <f t="shared" si="2"/>
        <v>0</v>
      </c>
    </row>
    <row r="36" spans="1:40" ht="24" customHeight="1">
      <c r="A36" s="381" t="s">
        <v>161</v>
      </c>
      <c r="B36" s="515"/>
      <c r="C36" s="516"/>
      <c r="D36" s="516"/>
      <c r="E36" s="516"/>
      <c r="F36" s="516" t="s">
        <v>70</v>
      </c>
      <c r="G36" s="516" t="s">
        <v>70</v>
      </c>
      <c r="H36" s="763" t="s">
        <v>213</v>
      </c>
      <c r="I36" s="763"/>
      <c r="J36" s="763"/>
      <c r="K36" s="764"/>
      <c r="L36" s="384"/>
      <c r="M36" s="385"/>
      <c r="AI36" s="395">
        <v>11</v>
      </c>
      <c r="AJ36" s="396" t="s">
        <v>273</v>
      </c>
      <c r="AK36" s="397">
        <v>500000</v>
      </c>
      <c r="AL36" s="410">
        <v>62536.11</v>
      </c>
      <c r="AM36" s="411"/>
      <c r="AN36" s="411">
        <f t="shared" si="2"/>
        <v>12.507222000000001</v>
      </c>
    </row>
    <row r="37" spans="1:40" ht="24" customHeight="1">
      <c r="A37" s="381" t="s">
        <v>310</v>
      </c>
      <c r="B37" s="515"/>
      <c r="C37" s="516"/>
      <c r="D37" s="516"/>
      <c r="E37" s="516"/>
      <c r="F37" s="516" t="s">
        <v>138</v>
      </c>
      <c r="G37" s="516" t="s">
        <v>139</v>
      </c>
      <c r="H37" s="577" t="s">
        <v>200</v>
      </c>
      <c r="I37" s="400" t="s">
        <v>56</v>
      </c>
      <c r="J37" s="472">
        <v>0</v>
      </c>
      <c r="K37" s="573" t="s">
        <v>51</v>
      </c>
      <c r="L37" s="384"/>
      <c r="M37" s="385"/>
      <c r="AI37" s="395"/>
      <c r="AJ37" s="396" t="s">
        <v>275</v>
      </c>
      <c r="AK37" s="397">
        <v>300000</v>
      </c>
      <c r="AL37" s="410">
        <v>57903.85</v>
      </c>
      <c r="AM37" s="411"/>
      <c r="AN37" s="411">
        <f t="shared" si="2"/>
        <v>19.301283333333334</v>
      </c>
    </row>
    <row r="38" spans="1:40" ht="24" customHeight="1">
      <c r="A38" s="507"/>
      <c r="B38" s="508"/>
      <c r="C38" s="509"/>
      <c r="D38" s="509"/>
      <c r="E38" s="509"/>
      <c r="F38" s="509"/>
      <c r="G38" s="509"/>
      <c r="H38" s="773"/>
      <c r="I38" s="774"/>
      <c r="J38" s="774"/>
      <c r="K38" s="775"/>
      <c r="L38" s="510"/>
      <c r="M38" s="376"/>
      <c r="AI38" s="395"/>
      <c r="AJ38" s="396" t="s">
        <v>276</v>
      </c>
      <c r="AK38" s="397">
        <v>300000</v>
      </c>
      <c r="AL38" s="410">
        <v>94848.7</v>
      </c>
      <c r="AM38" s="411"/>
      <c r="AN38" s="411">
        <f t="shared" si="2"/>
        <v>31.616233333333334</v>
      </c>
    </row>
    <row r="39" spans="1:40" ht="24" customHeight="1">
      <c r="A39" s="379" t="s">
        <v>149</v>
      </c>
      <c r="B39" s="302">
        <v>16.36</v>
      </c>
      <c r="C39" s="405">
        <v>0.75</v>
      </c>
      <c r="D39" s="405">
        <v>0.78</v>
      </c>
      <c r="E39" s="405">
        <v>0.81</v>
      </c>
      <c r="F39" s="405">
        <v>0.84</v>
      </c>
      <c r="G39" s="405">
        <v>0.87</v>
      </c>
      <c r="H39" s="738" t="s">
        <v>303</v>
      </c>
      <c r="I39" s="739"/>
      <c r="J39" s="739"/>
      <c r="K39" s="740"/>
      <c r="L39" s="303">
        <v>5</v>
      </c>
      <c r="M39" s="380">
        <f>IF(L39=0,"-",ROUND(L39*B39/B$72,4))</f>
        <v>1.0462</v>
      </c>
      <c r="AI39" s="395">
        <v>13</v>
      </c>
      <c r="AJ39" s="396" t="s">
        <v>281</v>
      </c>
      <c r="AK39" s="397">
        <v>300000</v>
      </c>
      <c r="AL39" s="410">
        <v>205897.2</v>
      </c>
      <c r="AM39" s="411"/>
      <c r="AN39" s="411">
        <f t="shared" si="2"/>
        <v>68.632400000000004</v>
      </c>
    </row>
    <row r="40" spans="1:40" ht="24" customHeight="1">
      <c r="A40" s="381" t="s">
        <v>137</v>
      </c>
      <c r="B40" s="382"/>
      <c r="C40" s="383"/>
      <c r="D40" s="383"/>
      <c r="E40" s="383"/>
      <c r="F40" s="383"/>
      <c r="G40" s="383"/>
      <c r="H40" s="762" t="s">
        <v>272</v>
      </c>
      <c r="I40" s="763"/>
      <c r="J40" s="763"/>
      <c r="K40" s="764"/>
      <c r="L40" s="384"/>
      <c r="M40" s="385"/>
      <c r="AI40" s="395"/>
      <c r="AJ40" s="396" t="s">
        <v>282</v>
      </c>
      <c r="AK40" s="397">
        <v>300000</v>
      </c>
      <c r="AL40" s="410">
        <v>100339.9</v>
      </c>
      <c r="AM40" s="411"/>
      <c r="AN40" s="411">
        <f t="shared" si="2"/>
        <v>33.446633333333331</v>
      </c>
    </row>
    <row r="41" spans="1:40" ht="24" customHeight="1">
      <c r="A41" s="381"/>
      <c r="B41" s="382"/>
      <c r="C41" s="383"/>
      <c r="D41" s="383"/>
      <c r="E41" s="383"/>
      <c r="F41" s="383"/>
      <c r="G41" s="383"/>
      <c r="H41" s="589"/>
      <c r="I41" s="589" t="s">
        <v>87</v>
      </c>
      <c r="J41" s="590">
        <v>570811100</v>
      </c>
      <c r="K41" s="573" t="s">
        <v>163</v>
      </c>
      <c r="L41" s="384"/>
      <c r="M41" s="385"/>
      <c r="AI41" s="395"/>
      <c r="AJ41" s="396" t="s">
        <v>283</v>
      </c>
      <c r="AK41" s="397">
        <v>300000</v>
      </c>
      <c r="AL41" s="410">
        <v>57000</v>
      </c>
      <c r="AM41" s="411"/>
      <c r="AN41" s="411">
        <f t="shared" si="2"/>
        <v>19</v>
      </c>
    </row>
    <row r="42" spans="1:40" ht="24" customHeight="1">
      <c r="A42" s="381"/>
      <c r="B42" s="382"/>
      <c r="C42" s="383"/>
      <c r="D42" s="383"/>
      <c r="E42" s="383"/>
      <c r="F42" s="383"/>
      <c r="G42" s="383"/>
      <c r="H42" s="589"/>
      <c r="I42" s="400" t="s">
        <v>195</v>
      </c>
      <c r="J42" s="591">
        <v>661423374</v>
      </c>
      <c r="K42" s="573" t="s">
        <v>163</v>
      </c>
      <c r="L42" s="384"/>
      <c r="M42" s="385"/>
      <c r="AI42" s="395"/>
      <c r="AJ42" s="396" t="s">
        <v>284</v>
      </c>
      <c r="AK42" s="397">
        <v>300000</v>
      </c>
      <c r="AL42" s="410">
        <v>54914.85</v>
      </c>
      <c r="AM42" s="411"/>
      <c r="AN42" s="411">
        <f t="shared" si="2"/>
        <v>18.304950000000002</v>
      </c>
    </row>
    <row r="43" spans="1:40" ht="24" customHeight="1">
      <c r="A43" s="381"/>
      <c r="B43" s="382"/>
      <c r="C43" s="383"/>
      <c r="D43" s="383"/>
      <c r="E43" s="383"/>
      <c r="F43" s="383"/>
      <c r="G43" s="383"/>
      <c r="H43" s="589"/>
      <c r="I43" s="400" t="s">
        <v>196</v>
      </c>
      <c r="J43" s="472">
        <v>97.69</v>
      </c>
      <c r="K43" s="573" t="s">
        <v>51</v>
      </c>
      <c r="L43" s="384"/>
      <c r="M43" s="385"/>
      <c r="AI43" s="395"/>
      <c r="AJ43" s="396" t="s">
        <v>285</v>
      </c>
      <c r="AK43" s="397">
        <v>300000</v>
      </c>
      <c r="AL43" s="410">
        <v>66279.649999999994</v>
      </c>
      <c r="AM43" s="411"/>
      <c r="AN43" s="411">
        <f t="shared" si="2"/>
        <v>22.093216666666663</v>
      </c>
    </row>
    <row r="44" spans="1:40" ht="24" customHeight="1">
      <c r="A44" s="507"/>
      <c r="B44" s="508"/>
      <c r="C44" s="509"/>
      <c r="D44" s="509"/>
      <c r="E44" s="509"/>
      <c r="F44" s="509"/>
      <c r="G44" s="509"/>
      <c r="H44" s="592"/>
      <c r="I44" s="587"/>
      <c r="J44" s="593"/>
      <c r="K44" s="588"/>
      <c r="L44" s="510"/>
      <c r="M44" s="376"/>
      <c r="AI44" s="395"/>
      <c r="AJ44" s="396" t="s">
        <v>286</v>
      </c>
      <c r="AK44" s="397">
        <v>500000</v>
      </c>
      <c r="AL44" s="410">
        <v>147338.20000000001</v>
      </c>
      <c r="AM44" s="411"/>
      <c r="AN44" s="411">
        <f t="shared" si="2"/>
        <v>29.467640000000003</v>
      </c>
    </row>
    <row r="45" spans="1:40" ht="24" customHeight="1">
      <c r="A45" s="379" t="s">
        <v>150</v>
      </c>
      <c r="B45" s="302">
        <v>1.87</v>
      </c>
      <c r="C45" s="405">
        <v>0.6</v>
      </c>
      <c r="D45" s="405">
        <v>0.65</v>
      </c>
      <c r="E45" s="405">
        <v>0.7</v>
      </c>
      <c r="F45" s="405">
        <v>0.75</v>
      </c>
      <c r="G45" s="405">
        <v>0.8</v>
      </c>
      <c r="H45" s="738" t="s">
        <v>222</v>
      </c>
      <c r="I45" s="739"/>
      <c r="J45" s="739"/>
      <c r="K45" s="740"/>
      <c r="L45" s="303">
        <v>5</v>
      </c>
      <c r="M45" s="380">
        <f>IF(L45=0,"-",ROUND(L45*B45/B$72,4))</f>
        <v>0.1196</v>
      </c>
      <c r="AI45" s="395"/>
      <c r="AJ45" s="396" t="s">
        <v>277</v>
      </c>
      <c r="AK45" s="397">
        <v>500000</v>
      </c>
      <c r="AL45" s="410">
        <v>150000</v>
      </c>
      <c r="AM45" s="411"/>
      <c r="AN45" s="411">
        <f t="shared" si="2"/>
        <v>30</v>
      </c>
    </row>
    <row r="46" spans="1:40" ht="24" customHeight="1">
      <c r="A46" s="381" t="s">
        <v>151</v>
      </c>
      <c r="B46" s="515"/>
      <c r="C46" s="594"/>
      <c r="D46" s="594"/>
      <c r="E46" s="594"/>
      <c r="F46" s="594"/>
      <c r="G46" s="594"/>
      <c r="H46" s="762" t="s">
        <v>223</v>
      </c>
      <c r="I46" s="763"/>
      <c r="J46" s="763"/>
      <c r="K46" s="764"/>
      <c r="L46" s="384"/>
      <c r="M46" s="385"/>
      <c r="AI46" s="395"/>
      <c r="AJ46" s="396"/>
      <c r="AK46" s="397" t="e">
        <f>AK31+AK32+AK33+#REF!+AK34+AK35+AK36+AK37+#REF!+AK38+AK39+AK40+AK41+AK42+AK43+AK44+AK45</f>
        <v>#REF!</v>
      </c>
      <c r="AL46" s="410" t="e">
        <f>AL31+AL32+AL33+#REF!+AL34+AL35+AL36+AL37+#REF!+AL38+AL39+AL40+AL41+AL42+AL43+AL44+AL45</f>
        <v>#REF!</v>
      </c>
      <c r="AM46" s="411"/>
      <c r="AN46" s="411" t="e">
        <f>AL46*100/AK46</f>
        <v>#REF!</v>
      </c>
    </row>
    <row r="47" spans="1:40" ht="24" customHeight="1">
      <c r="A47" s="381" t="s">
        <v>91</v>
      </c>
      <c r="B47" s="382"/>
      <c r="C47" s="383"/>
      <c r="D47" s="383"/>
      <c r="E47" s="383"/>
      <c r="F47" s="383"/>
      <c r="G47" s="383"/>
      <c r="H47" s="762" t="s">
        <v>224</v>
      </c>
      <c r="I47" s="763"/>
      <c r="J47" s="763"/>
      <c r="K47" s="764"/>
      <c r="L47" s="384"/>
      <c r="M47" s="385"/>
    </row>
    <row r="48" spans="1:40" ht="24" customHeight="1">
      <c r="A48" s="381"/>
      <c r="B48" s="382"/>
      <c r="C48" s="383"/>
      <c r="D48" s="383"/>
      <c r="E48" s="383"/>
      <c r="F48" s="383"/>
      <c r="G48" s="383"/>
      <c r="H48" s="577"/>
      <c r="I48" s="400" t="s">
        <v>97</v>
      </c>
      <c r="J48" s="591">
        <v>271</v>
      </c>
      <c r="K48" s="578" t="s">
        <v>96</v>
      </c>
      <c r="L48" s="384"/>
      <c r="M48" s="385"/>
    </row>
    <row r="49" spans="1:34" ht="24" customHeight="1">
      <c r="A49" s="381"/>
      <c r="B49" s="382"/>
      <c r="C49" s="383"/>
      <c r="D49" s="383"/>
      <c r="E49" s="383"/>
      <c r="F49" s="383"/>
      <c r="G49" s="383"/>
      <c r="H49" s="577"/>
      <c r="I49" s="400" t="s">
        <v>98</v>
      </c>
      <c r="J49" s="591">
        <v>271</v>
      </c>
      <c r="K49" s="578" t="s">
        <v>96</v>
      </c>
      <c r="L49" s="384"/>
      <c r="M49" s="385"/>
    </row>
    <row r="50" spans="1:34" ht="24" customHeight="1">
      <c r="A50" s="381"/>
      <c r="B50" s="382"/>
      <c r="C50" s="383"/>
      <c r="D50" s="383"/>
      <c r="E50" s="383"/>
      <c r="F50" s="383"/>
      <c r="G50" s="383"/>
      <c r="H50" s="571"/>
      <c r="I50" s="400" t="s">
        <v>35</v>
      </c>
      <c r="J50" s="486">
        <f>ROUND(J49*100/J48,2)</f>
        <v>100</v>
      </c>
      <c r="K50" s="573" t="s">
        <v>51</v>
      </c>
      <c r="L50" s="384"/>
      <c r="M50" s="385"/>
    </row>
    <row r="51" spans="1:34" ht="24" customHeight="1">
      <c r="A51" s="507"/>
      <c r="B51" s="508"/>
      <c r="C51" s="509"/>
      <c r="D51" s="509"/>
      <c r="E51" s="509"/>
      <c r="F51" s="509"/>
      <c r="G51" s="509"/>
      <c r="H51" s="595"/>
      <c r="I51" s="596"/>
      <c r="J51" s="596"/>
      <c r="K51" s="574"/>
      <c r="L51" s="510"/>
      <c r="M51" s="376"/>
    </row>
    <row r="52" spans="1:34" ht="24" customHeight="1">
      <c r="A52" s="597" t="s">
        <v>152</v>
      </c>
      <c r="B52" s="490">
        <v>5.45</v>
      </c>
      <c r="C52" s="598">
        <v>0.65</v>
      </c>
      <c r="D52" s="598">
        <v>0.7</v>
      </c>
      <c r="E52" s="598">
        <v>0.75</v>
      </c>
      <c r="F52" s="598">
        <v>0.8</v>
      </c>
      <c r="G52" s="598">
        <v>0.85</v>
      </c>
      <c r="H52" s="738" t="s">
        <v>225</v>
      </c>
      <c r="I52" s="739"/>
      <c r="J52" s="739"/>
      <c r="K52" s="740"/>
      <c r="L52" s="303">
        <v>4.7939999999999996</v>
      </c>
      <c r="M52" s="380">
        <f>IF(L52=0,"-",ROUND(L52*B52/B$72,4))</f>
        <v>0.3342</v>
      </c>
    </row>
    <row r="53" spans="1:34" ht="24" customHeight="1">
      <c r="A53" s="381" t="s">
        <v>153</v>
      </c>
      <c r="B53" s="382"/>
      <c r="C53" s="383"/>
      <c r="D53" s="383"/>
      <c r="E53" s="383"/>
      <c r="F53" s="383"/>
      <c r="G53" s="383"/>
      <c r="H53" s="762" t="s">
        <v>226</v>
      </c>
      <c r="I53" s="763"/>
      <c r="J53" s="763"/>
      <c r="K53" s="764"/>
      <c r="L53" s="384"/>
      <c r="M53" s="385"/>
    </row>
    <row r="54" spans="1:34" ht="24" customHeight="1">
      <c r="A54" s="599" t="s">
        <v>162</v>
      </c>
      <c r="B54" s="382"/>
      <c r="C54" s="383"/>
      <c r="D54" s="383"/>
      <c r="E54" s="383"/>
      <c r="F54" s="383"/>
      <c r="G54" s="383"/>
      <c r="H54" s="577" t="s">
        <v>200</v>
      </c>
      <c r="I54" s="600" t="s">
        <v>113</v>
      </c>
      <c r="J54" s="486">
        <v>83.97</v>
      </c>
      <c r="K54" s="573" t="s">
        <v>51</v>
      </c>
      <c r="L54" s="384"/>
      <c r="M54" s="385"/>
    </row>
    <row r="55" spans="1:34" ht="24" customHeight="1">
      <c r="A55" s="381"/>
      <c r="B55" s="382"/>
      <c r="C55" s="383"/>
      <c r="D55" s="383"/>
      <c r="E55" s="383"/>
      <c r="F55" s="383"/>
      <c r="G55" s="517"/>
      <c r="H55" s="601"/>
      <c r="I55" s="601"/>
      <c r="J55" s="601"/>
      <c r="K55" s="601"/>
      <c r="L55" s="384"/>
      <c r="M55" s="385"/>
    </row>
    <row r="56" spans="1:34" ht="24" customHeight="1">
      <c r="A56" s="379" t="s">
        <v>154</v>
      </c>
      <c r="B56" s="490">
        <v>5.45</v>
      </c>
      <c r="C56" s="496" t="s">
        <v>29</v>
      </c>
      <c r="D56" s="496" t="s">
        <v>30</v>
      </c>
      <c r="E56" s="496" t="s">
        <v>31</v>
      </c>
      <c r="F56" s="496" t="s">
        <v>32</v>
      </c>
      <c r="G56" s="496" t="s">
        <v>33</v>
      </c>
      <c r="H56" s="738" t="s">
        <v>227</v>
      </c>
      <c r="I56" s="739"/>
      <c r="J56" s="739"/>
      <c r="K56" s="740"/>
      <c r="L56" s="303">
        <v>1</v>
      </c>
      <c r="M56" s="380">
        <f>IF(L56=0,"-",ROUND(L56*B56/B$72,4))</f>
        <v>6.9699999999999998E-2</v>
      </c>
    </row>
    <row r="57" spans="1:34" ht="24" customHeight="1">
      <c r="A57" s="381" t="s">
        <v>107</v>
      </c>
      <c r="B57" s="382"/>
      <c r="C57" s="497">
        <v>1.5</v>
      </c>
      <c r="D57" s="497">
        <v>2</v>
      </c>
      <c r="E57" s="497">
        <v>2.5</v>
      </c>
      <c r="F57" s="497">
        <v>3</v>
      </c>
      <c r="G57" s="497">
        <v>5</v>
      </c>
      <c r="H57" s="762" t="s">
        <v>228</v>
      </c>
      <c r="I57" s="763"/>
      <c r="J57" s="763"/>
      <c r="K57" s="764"/>
      <c r="L57" s="384"/>
      <c r="M57" s="385"/>
    </row>
    <row r="58" spans="1:34" ht="24" customHeight="1">
      <c r="A58" s="381" t="s">
        <v>310</v>
      </c>
      <c r="B58" s="382"/>
      <c r="C58" s="517"/>
      <c r="D58" s="517"/>
      <c r="E58" s="517"/>
      <c r="F58" s="517"/>
      <c r="G58" s="517"/>
      <c r="H58" s="762" t="s">
        <v>213</v>
      </c>
      <c r="I58" s="763"/>
      <c r="J58" s="763"/>
      <c r="K58" s="764"/>
      <c r="L58" s="384"/>
      <c r="M58" s="385"/>
    </row>
    <row r="59" spans="1:34" ht="24" customHeight="1">
      <c r="A59" s="381"/>
      <c r="B59" s="382"/>
      <c r="C59" s="517"/>
      <c r="D59" s="517"/>
      <c r="E59" s="517"/>
      <c r="F59" s="517"/>
      <c r="G59" s="517"/>
      <c r="H59" s="571"/>
      <c r="I59" s="400" t="s">
        <v>112</v>
      </c>
      <c r="J59" s="472" t="s">
        <v>11</v>
      </c>
      <c r="K59" s="578"/>
      <c r="L59" s="384"/>
      <c r="M59" s="385"/>
    </row>
    <row r="60" spans="1:34" ht="24" customHeight="1">
      <c r="A60" s="507"/>
      <c r="B60" s="508"/>
      <c r="C60" s="509"/>
      <c r="D60" s="509"/>
      <c r="E60" s="509"/>
      <c r="F60" s="509"/>
      <c r="G60" s="509"/>
      <c r="H60" s="511"/>
      <c r="I60" s="587"/>
      <c r="J60" s="587"/>
      <c r="K60" s="588"/>
      <c r="L60" s="510"/>
      <c r="M60" s="376"/>
    </row>
    <row r="61" spans="1:34" ht="24" customHeight="1">
      <c r="A61" s="602" t="s">
        <v>155</v>
      </c>
      <c r="B61" s="490">
        <v>5.45</v>
      </c>
      <c r="C61" s="598">
        <v>0.1</v>
      </c>
      <c r="D61" s="598">
        <v>0.3</v>
      </c>
      <c r="E61" s="598">
        <v>0.5</v>
      </c>
      <c r="F61" s="598">
        <v>0.7</v>
      </c>
      <c r="G61" s="598">
        <v>1</v>
      </c>
      <c r="H61" s="738" t="s">
        <v>316</v>
      </c>
      <c r="I61" s="739"/>
      <c r="J61" s="739"/>
      <c r="K61" s="740"/>
      <c r="L61" s="303">
        <f>ROUND(4+((J64-70)*1/30),4)</f>
        <v>4.4333</v>
      </c>
      <c r="M61" s="380">
        <f>IF(L61=0,"-",ROUND(L61*B61/B$72,4))</f>
        <v>0.309</v>
      </c>
      <c r="Q61" s="368" t="s">
        <v>164</v>
      </c>
      <c r="R61" s="368" t="s">
        <v>165</v>
      </c>
      <c r="S61" s="368" t="s">
        <v>166</v>
      </c>
      <c r="T61" s="368" t="s">
        <v>180</v>
      </c>
      <c r="U61" s="368" t="s">
        <v>181</v>
      </c>
      <c r="V61" s="368" t="s">
        <v>278</v>
      </c>
      <c r="W61" s="368" t="s">
        <v>183</v>
      </c>
      <c r="X61" s="368" t="s">
        <v>184</v>
      </c>
      <c r="Y61" s="368" t="s">
        <v>185</v>
      </c>
      <c r="Z61" s="368" t="s">
        <v>186</v>
      </c>
      <c r="AA61" s="368" t="s">
        <v>187</v>
      </c>
      <c r="AB61" s="368" t="s">
        <v>188</v>
      </c>
      <c r="AC61" s="368" t="s">
        <v>189</v>
      </c>
      <c r="AD61" s="368" t="s">
        <v>190</v>
      </c>
      <c r="AE61" s="368" t="s">
        <v>191</v>
      </c>
      <c r="AF61" s="368" t="s">
        <v>192</v>
      </c>
      <c r="AG61" s="368" t="s">
        <v>193</v>
      </c>
      <c r="AH61" s="368" t="s">
        <v>20</v>
      </c>
    </row>
    <row r="62" spans="1:34" ht="24" customHeight="1">
      <c r="A62" s="603" t="s">
        <v>197</v>
      </c>
      <c r="B62" s="604"/>
      <c r="C62" s="383"/>
      <c r="D62" s="383"/>
      <c r="E62" s="383"/>
      <c r="F62" s="383"/>
      <c r="G62" s="406"/>
      <c r="H62" s="571" t="s">
        <v>317</v>
      </c>
      <c r="I62" s="501"/>
      <c r="J62" s="581"/>
      <c r="K62" s="582"/>
      <c r="L62" s="518"/>
      <c r="M62" s="385"/>
      <c r="Q62" s="368">
        <v>82</v>
      </c>
      <c r="R62" s="368">
        <v>100</v>
      </c>
      <c r="S62" s="368">
        <v>0</v>
      </c>
      <c r="T62" s="368">
        <v>82</v>
      </c>
      <c r="U62" s="368">
        <v>72</v>
      </c>
      <c r="V62" s="368">
        <v>81</v>
      </c>
      <c r="W62" s="368">
        <v>95</v>
      </c>
      <c r="X62" s="368">
        <v>72</v>
      </c>
      <c r="Y62" s="368">
        <v>80</v>
      </c>
      <c r="Z62" s="368">
        <v>76</v>
      </c>
      <c r="AA62" s="368">
        <v>76</v>
      </c>
      <c r="AB62" s="368">
        <v>86</v>
      </c>
      <c r="AC62" s="368">
        <v>76</v>
      </c>
      <c r="AD62" s="368">
        <v>70</v>
      </c>
      <c r="AE62" s="368">
        <v>100</v>
      </c>
      <c r="AF62" s="368">
        <v>72</v>
      </c>
      <c r="AG62" s="368">
        <v>95</v>
      </c>
      <c r="AH62" s="404">
        <f>(Q62+R62+S62+T62+U62+V62+W62+X62+Y62+Z62+AA62+AB62+AC62+AD62+AE62+AF62+AG62)/17</f>
        <v>77.352941176470594</v>
      </c>
    </row>
    <row r="63" spans="1:34" ht="24" customHeight="1">
      <c r="A63" s="381" t="s">
        <v>310</v>
      </c>
      <c r="B63" s="604"/>
      <c r="C63" s="383"/>
      <c r="D63" s="383"/>
      <c r="E63" s="383"/>
      <c r="F63" s="383"/>
      <c r="G63" s="383"/>
      <c r="H63" s="572" t="s">
        <v>231</v>
      </c>
      <c r="I63" s="501"/>
      <c r="J63" s="581"/>
      <c r="K63" s="582"/>
      <c r="L63" s="518"/>
      <c r="M63" s="385"/>
    </row>
    <row r="64" spans="1:34" ht="24" customHeight="1">
      <c r="A64" s="603"/>
      <c r="B64" s="604"/>
      <c r="C64" s="383"/>
      <c r="D64" s="383"/>
      <c r="E64" s="383"/>
      <c r="F64" s="383"/>
      <c r="G64" s="383"/>
      <c r="H64" s="571"/>
      <c r="I64" s="400" t="s">
        <v>114</v>
      </c>
      <c r="J64" s="545">
        <v>83</v>
      </c>
      <c r="K64" s="573" t="s">
        <v>51</v>
      </c>
      <c r="L64" s="518"/>
      <c r="M64" s="385"/>
      <c r="P64" s="305"/>
    </row>
    <row r="65" spans="1:32" ht="24" customHeight="1">
      <c r="A65" s="605"/>
      <c r="B65" s="606"/>
      <c r="C65" s="509"/>
      <c r="D65" s="509"/>
      <c r="E65" s="509"/>
      <c r="F65" s="509"/>
      <c r="G65" s="509"/>
      <c r="H65" s="512"/>
      <c r="I65" s="587"/>
      <c r="J65" s="587"/>
      <c r="K65" s="588"/>
      <c r="L65" s="607"/>
      <c r="M65" s="376"/>
    </row>
    <row r="66" spans="1:32" ht="24" customHeight="1">
      <c r="A66" s="379" t="s">
        <v>156</v>
      </c>
      <c r="B66" s="490">
        <v>5.45</v>
      </c>
      <c r="C66" s="498">
        <v>0.8</v>
      </c>
      <c r="D66" s="498">
        <v>0.85</v>
      </c>
      <c r="E66" s="498">
        <v>0.9</v>
      </c>
      <c r="F66" s="498">
        <v>0.95</v>
      </c>
      <c r="G66" s="498">
        <v>1</v>
      </c>
      <c r="H66" s="738" t="s">
        <v>304</v>
      </c>
      <c r="I66" s="739"/>
      <c r="J66" s="739"/>
      <c r="K66" s="740"/>
      <c r="L66" s="303">
        <f>ROUND(4+((J70-95)*1/5),4)</f>
        <v>4.7160000000000002</v>
      </c>
      <c r="M66" s="380">
        <f>IF(L66=0,"-",ROUND(L66*B66/B$72,4))</f>
        <v>0.32869999999999999</v>
      </c>
      <c r="R66" s="413"/>
    </row>
    <row r="67" spans="1:32" ht="24" customHeight="1">
      <c r="A67" s="381" t="s">
        <v>116</v>
      </c>
      <c r="B67" s="382"/>
      <c r="C67" s="497"/>
      <c r="D67" s="497"/>
      <c r="E67" s="497"/>
      <c r="F67" s="497"/>
      <c r="G67" s="497"/>
      <c r="H67" s="762" t="s">
        <v>305</v>
      </c>
      <c r="I67" s="763"/>
      <c r="J67" s="763"/>
      <c r="K67" s="764"/>
      <c r="L67" s="384"/>
      <c r="M67" s="385"/>
    </row>
    <row r="68" spans="1:32" ht="24" customHeight="1">
      <c r="A68" s="381" t="s">
        <v>310</v>
      </c>
      <c r="B68" s="382"/>
      <c r="C68" s="383"/>
      <c r="D68" s="383"/>
      <c r="E68" s="383"/>
      <c r="F68" s="383"/>
      <c r="G68" s="383"/>
      <c r="H68" s="762" t="s">
        <v>306</v>
      </c>
      <c r="I68" s="763"/>
      <c r="J68" s="763"/>
      <c r="K68" s="764"/>
      <c r="L68" s="384"/>
      <c r="M68" s="385"/>
      <c r="O68" s="375"/>
      <c r="P68" s="375"/>
      <c r="Q68" s="375"/>
      <c r="R68" s="375"/>
      <c r="S68" s="375"/>
      <c r="T68" s="375"/>
      <c r="U68" s="375"/>
      <c r="V68" s="375"/>
      <c r="W68" s="375"/>
      <c r="X68" s="375"/>
      <c r="Y68" s="375"/>
      <c r="Z68" s="375"/>
      <c r="AA68" s="375"/>
      <c r="AB68" s="375"/>
      <c r="AC68" s="375"/>
      <c r="AD68" s="375"/>
      <c r="AE68" s="375"/>
      <c r="AF68" s="375"/>
    </row>
    <row r="69" spans="1:32" ht="24" customHeight="1">
      <c r="A69" s="381"/>
      <c r="B69" s="382"/>
      <c r="C69" s="383"/>
      <c r="D69" s="383"/>
      <c r="E69" s="383"/>
      <c r="F69" s="383"/>
      <c r="G69" s="383"/>
      <c r="H69" s="571" t="s">
        <v>307</v>
      </c>
      <c r="I69" s="572"/>
      <c r="J69" s="572"/>
      <c r="K69" s="573"/>
      <c r="L69" s="384"/>
      <c r="M69" s="385"/>
      <c r="O69" s="414"/>
      <c r="P69" s="414"/>
      <c r="Q69" s="414"/>
      <c r="R69" s="414"/>
      <c r="S69" s="414"/>
      <c r="T69" s="414"/>
      <c r="U69" s="414"/>
      <c r="V69" s="414"/>
      <c r="W69" s="414"/>
      <c r="X69" s="414"/>
      <c r="Y69" s="414"/>
      <c r="Z69" s="414"/>
      <c r="AA69" s="414"/>
      <c r="AB69" s="414"/>
      <c r="AC69" s="414"/>
      <c r="AD69" s="414"/>
      <c r="AE69" s="414"/>
      <c r="AF69" s="414"/>
    </row>
    <row r="70" spans="1:32" ht="24" customHeight="1">
      <c r="A70" s="381"/>
      <c r="B70" s="382"/>
      <c r="C70" s="383"/>
      <c r="D70" s="383"/>
      <c r="E70" s="383"/>
      <c r="F70" s="383"/>
      <c r="G70" s="383"/>
      <c r="H70" s="571"/>
      <c r="I70" s="400" t="s">
        <v>114</v>
      </c>
      <c r="J70" s="545">
        <v>98.58</v>
      </c>
      <c r="K70" s="578" t="s">
        <v>51</v>
      </c>
      <c r="L70" s="384"/>
      <c r="M70" s="385"/>
      <c r="O70" s="414"/>
      <c r="P70" s="414"/>
      <c r="Q70" s="414"/>
      <c r="R70" s="414"/>
      <c r="S70" s="414"/>
      <c r="T70" s="414"/>
      <c r="U70" s="414"/>
      <c r="V70" s="414"/>
      <c r="W70" s="414"/>
      <c r="X70" s="414"/>
      <c r="Y70" s="414"/>
      <c r="Z70" s="414"/>
      <c r="AA70" s="414"/>
      <c r="AB70" s="414"/>
      <c r="AC70" s="414"/>
      <c r="AD70" s="414"/>
      <c r="AE70" s="414"/>
      <c r="AF70" s="414"/>
    </row>
    <row r="71" spans="1:32" ht="24" customHeight="1">
      <c r="A71" s="381"/>
      <c r="B71" s="608"/>
      <c r="C71" s="383"/>
      <c r="D71" s="383"/>
      <c r="E71" s="383"/>
      <c r="F71" s="383"/>
      <c r="G71" s="517"/>
      <c r="H71" s="571"/>
      <c r="I71" s="601"/>
      <c r="J71" s="600"/>
      <c r="K71" s="578"/>
      <c r="L71" s="384"/>
      <c r="M71" s="385"/>
      <c r="O71" s="414"/>
      <c r="P71" s="414"/>
      <c r="Q71" s="414"/>
      <c r="R71" s="414"/>
      <c r="S71" s="414"/>
      <c r="T71" s="414"/>
      <c r="U71" s="414"/>
      <c r="V71" s="414"/>
      <c r="W71" s="414"/>
      <c r="X71" s="414"/>
      <c r="Y71" s="414"/>
      <c r="Z71" s="414"/>
      <c r="AA71" s="414"/>
      <c r="AB71" s="414"/>
      <c r="AC71" s="414"/>
      <c r="AD71" s="414"/>
      <c r="AE71" s="414"/>
      <c r="AF71" s="414"/>
    </row>
    <row r="72" spans="1:32" ht="24" customHeight="1">
      <c r="A72" s="415"/>
      <c r="B72" s="416">
        <f>SUM(B6:B71)</f>
        <v>78.190000000000012</v>
      </c>
      <c r="C72" s="417"/>
      <c r="D72" s="417"/>
      <c r="E72" s="417"/>
      <c r="F72" s="417"/>
      <c r="G72" s="418"/>
      <c r="H72" s="417"/>
      <c r="I72" s="417"/>
      <c r="J72" s="417"/>
      <c r="K72" s="417"/>
      <c r="L72" s="419" t="s">
        <v>140</v>
      </c>
      <c r="M72" s="420">
        <f>SUM(M6:M71)</f>
        <v>4.3585000000000012</v>
      </c>
      <c r="O72" s="414"/>
      <c r="P72" s="414"/>
      <c r="Q72" s="414"/>
      <c r="R72" s="414"/>
      <c r="S72" s="414"/>
      <c r="T72" s="414"/>
      <c r="U72" s="414"/>
      <c r="V72" s="414"/>
      <c r="W72" s="414"/>
      <c r="X72" s="414"/>
      <c r="Y72" s="414"/>
      <c r="Z72" s="414"/>
      <c r="AA72" s="414"/>
      <c r="AB72" s="414"/>
      <c r="AC72" s="414"/>
      <c r="AD72" s="414"/>
      <c r="AE72" s="414"/>
      <c r="AF72" s="414"/>
    </row>
    <row r="73" spans="1:32" ht="24" customHeight="1">
      <c r="O73" s="414"/>
      <c r="P73" s="414"/>
      <c r="Q73" s="414"/>
      <c r="R73" s="414"/>
      <c r="S73" s="414"/>
      <c r="T73" s="414"/>
      <c r="U73" s="414"/>
      <c r="V73" s="422"/>
      <c r="W73" s="414"/>
      <c r="X73" s="414"/>
      <c r="Y73" s="414"/>
      <c r="Z73" s="414"/>
      <c r="AA73" s="414"/>
      <c r="AB73" s="414"/>
      <c r="AC73" s="414"/>
      <c r="AD73" s="414"/>
      <c r="AE73" s="414"/>
      <c r="AF73" s="414"/>
    </row>
    <row r="74" spans="1:32" ht="24" customHeight="1">
      <c r="A74" s="423"/>
    </row>
    <row r="75" spans="1:32" ht="24" customHeight="1"/>
    <row r="76" spans="1:32" ht="24" customHeight="1"/>
    <row r="77" spans="1:32" ht="24" customHeight="1"/>
    <row r="78" spans="1:32" ht="24" customHeight="1"/>
    <row r="79" spans="1:32" ht="24" customHeight="1"/>
    <row r="80" spans="1:32" ht="24" customHeight="1"/>
    <row r="81" ht="24" customHeight="1"/>
  </sheetData>
  <mergeCells count="42">
    <mergeCell ref="H68:K68"/>
    <mergeCell ref="H45:K45"/>
    <mergeCell ref="H46:K46"/>
    <mergeCell ref="H47:K47"/>
    <mergeCell ref="H52:K52"/>
    <mergeCell ref="H53:K53"/>
    <mergeCell ref="H56:K56"/>
    <mergeCell ref="H57:K57"/>
    <mergeCell ref="H58:K58"/>
    <mergeCell ref="H61:K61"/>
    <mergeCell ref="H66:K66"/>
    <mergeCell ref="H67:K67"/>
    <mergeCell ref="H40:K40"/>
    <mergeCell ref="H24:K24"/>
    <mergeCell ref="H25:K25"/>
    <mergeCell ref="AI27:AJ27"/>
    <mergeCell ref="H28:K28"/>
    <mergeCell ref="H29:K29"/>
    <mergeCell ref="H30:K30"/>
    <mergeCell ref="H34:K34"/>
    <mergeCell ref="H35:K35"/>
    <mergeCell ref="H36:K36"/>
    <mergeCell ref="H38:K38"/>
    <mergeCell ref="H39:K39"/>
    <mergeCell ref="H23:K23"/>
    <mergeCell ref="H7:K7"/>
    <mergeCell ref="H8:K8"/>
    <mergeCell ref="H9:K9"/>
    <mergeCell ref="H11:K11"/>
    <mergeCell ref="H12:K12"/>
    <mergeCell ref="H13:K13"/>
    <mergeCell ref="H14:K14"/>
    <mergeCell ref="H17:K17"/>
    <mergeCell ref="H18:K18"/>
    <mergeCell ref="H19:K19"/>
    <mergeCell ref="H20:K20"/>
    <mergeCell ref="H6:K6"/>
    <mergeCell ref="A1:M1"/>
    <mergeCell ref="A2:M2"/>
    <mergeCell ref="C4:G4"/>
    <mergeCell ref="H4:K5"/>
    <mergeCell ref="L4:L5"/>
  </mergeCells>
  <printOptions horizontalCentered="1"/>
  <pageMargins left="0.196850393700787" right="0.196850393700787" top="0.55118110236220497" bottom="0.27559055118110198" header="0.196850393700787" footer="0.47244094488188998"/>
  <pageSetup paperSize="9" scale="68" orientation="landscape" r:id="rId1"/>
  <headerFooter scaleWithDoc="0">
    <oddHeader>&amp;R&amp;"TH SarabunPSK,Regular"&amp;16&amp;P</oddHeader>
  </headerFooter>
  <rowBreaks count="2" manualBreakCount="2">
    <brk id="27" max="12" man="1"/>
    <brk id="51" max="12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N80"/>
  <sheetViews>
    <sheetView view="pageBreakPreview" topLeftCell="A55" zoomScaleNormal="90" zoomScaleSheetLayoutView="100" zoomScalePageLayoutView="50" workbookViewId="0">
      <selection activeCell="J58" sqref="J58"/>
    </sheetView>
  </sheetViews>
  <sheetFormatPr defaultColWidth="9.140625" defaultRowHeight="21"/>
  <cols>
    <col min="1" max="1" width="38" style="368" customWidth="1"/>
    <col min="2" max="2" width="11.5703125" style="368" customWidth="1"/>
    <col min="3" max="3" width="9.85546875" style="368" customWidth="1"/>
    <col min="4" max="7" width="9.28515625" style="368" customWidth="1"/>
    <col min="8" max="8" width="9.85546875" style="368" customWidth="1"/>
    <col min="9" max="9" width="16.140625" style="368" customWidth="1"/>
    <col min="10" max="10" width="16.5703125" style="368" customWidth="1"/>
    <col min="11" max="11" width="33.7109375" style="368" customWidth="1"/>
    <col min="12" max="12" width="11.140625" style="421" customWidth="1"/>
    <col min="13" max="13" width="11.140625" style="368" customWidth="1"/>
    <col min="14" max="16" width="9.140625" style="368"/>
    <col min="17" max="17" width="12.42578125" style="368" bestFit="1" customWidth="1"/>
    <col min="18" max="20" width="11.5703125" style="368" bestFit="1" customWidth="1"/>
    <col min="21" max="21" width="9.140625" style="368"/>
    <col min="22" max="30" width="11.5703125" style="368" bestFit="1" customWidth="1"/>
    <col min="31" max="31" width="17.7109375" style="368" customWidth="1"/>
    <col min="32" max="32" width="9.28515625" style="368" bestFit="1" customWidth="1"/>
    <col min="33" max="33" width="11.28515625" style="368" bestFit="1" customWidth="1"/>
    <col min="34" max="35" width="9.140625" style="368"/>
    <col min="36" max="36" width="86.140625" style="368" bestFit="1" customWidth="1"/>
    <col min="37" max="37" width="19.28515625" style="368" bestFit="1" customWidth="1"/>
    <col min="38" max="38" width="15" style="368" bestFit="1" customWidth="1"/>
    <col min="39" max="39" width="10.42578125" style="368" bestFit="1" customWidth="1"/>
    <col min="40" max="16384" width="9.140625" style="368"/>
  </cols>
  <sheetData>
    <row r="1" spans="1:40" ht="24" customHeight="1">
      <c r="A1" s="752" t="s">
        <v>0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2" spans="1:40" ht="24" customHeight="1">
      <c r="A2" s="752" t="s">
        <v>342</v>
      </c>
      <c r="B2" s="753"/>
      <c r="C2" s="753"/>
      <c r="D2" s="753"/>
      <c r="E2" s="753"/>
      <c r="F2" s="753"/>
      <c r="G2" s="753"/>
      <c r="H2" s="753"/>
      <c r="I2" s="753"/>
      <c r="J2" s="753"/>
      <c r="K2" s="753"/>
      <c r="L2" s="753"/>
      <c r="M2" s="753"/>
    </row>
    <row r="3" spans="1:40" ht="24" customHeight="1">
      <c r="A3" s="369" t="s">
        <v>373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72" t="s">
        <v>237</v>
      </c>
    </row>
    <row r="4" spans="1:40" s="375" customFormat="1" ht="24" customHeight="1">
      <c r="A4" s="373" t="s">
        <v>1</v>
      </c>
      <c r="B4" s="373" t="s">
        <v>2</v>
      </c>
      <c r="C4" s="754" t="s">
        <v>3</v>
      </c>
      <c r="D4" s="754"/>
      <c r="E4" s="754"/>
      <c r="F4" s="754"/>
      <c r="G4" s="754"/>
      <c r="H4" s="755" t="s">
        <v>4</v>
      </c>
      <c r="I4" s="756"/>
      <c r="J4" s="756"/>
      <c r="K4" s="757"/>
      <c r="L4" s="776" t="s">
        <v>5</v>
      </c>
      <c r="M4" s="374" t="s">
        <v>6</v>
      </c>
    </row>
    <row r="5" spans="1:40" s="375" customFormat="1" ht="24" customHeight="1">
      <c r="A5" s="376" t="s">
        <v>7</v>
      </c>
      <c r="B5" s="376" t="s">
        <v>8</v>
      </c>
      <c r="C5" s="377">
        <v>1</v>
      </c>
      <c r="D5" s="377">
        <v>2</v>
      </c>
      <c r="E5" s="377">
        <v>3</v>
      </c>
      <c r="F5" s="377">
        <v>4</v>
      </c>
      <c r="G5" s="377">
        <v>5</v>
      </c>
      <c r="H5" s="758"/>
      <c r="I5" s="759"/>
      <c r="J5" s="759"/>
      <c r="K5" s="760"/>
      <c r="L5" s="776"/>
      <c r="M5" s="378" t="s">
        <v>9</v>
      </c>
    </row>
    <row r="6" spans="1:40" ht="24" customHeight="1">
      <c r="A6" s="379" t="s">
        <v>159</v>
      </c>
      <c r="B6" s="302">
        <v>5.45</v>
      </c>
      <c r="C6" s="506">
        <v>0.65</v>
      </c>
      <c r="D6" s="506">
        <v>0.7</v>
      </c>
      <c r="E6" s="506">
        <v>0.75</v>
      </c>
      <c r="F6" s="506">
        <v>0.8</v>
      </c>
      <c r="G6" s="506">
        <v>0.85</v>
      </c>
      <c r="H6" s="738" t="s">
        <v>203</v>
      </c>
      <c r="I6" s="739"/>
      <c r="J6" s="739"/>
      <c r="K6" s="740"/>
      <c r="L6" s="303">
        <v>4.8520000000000003</v>
      </c>
      <c r="M6" s="380">
        <f>IF(L6=0,"-",ROUND(L6*B6/B$71,4))</f>
        <v>0.31619999999999998</v>
      </c>
    </row>
    <row r="7" spans="1:40" ht="24" customHeight="1">
      <c r="A7" s="381" t="s">
        <v>144</v>
      </c>
      <c r="B7" s="382"/>
      <c r="C7" s="383"/>
      <c r="D7" s="383"/>
      <c r="E7" s="383"/>
      <c r="F7" s="383"/>
      <c r="G7" s="383"/>
      <c r="H7" s="762" t="s">
        <v>365</v>
      </c>
      <c r="I7" s="763"/>
      <c r="J7" s="763"/>
      <c r="K7" s="764"/>
      <c r="L7" s="384"/>
      <c r="M7" s="385"/>
      <c r="N7" s="375" t="s">
        <v>238</v>
      </c>
      <c r="O7" s="386" t="s">
        <v>164</v>
      </c>
      <c r="P7" s="375" t="s">
        <v>165</v>
      </c>
      <c r="Q7" s="375" t="s">
        <v>166</v>
      </c>
      <c r="R7" s="386" t="s">
        <v>167</v>
      </c>
      <c r="S7" s="386" t="s">
        <v>168</v>
      </c>
      <c r="T7" s="386" t="s">
        <v>169</v>
      </c>
      <c r="U7" s="386" t="s">
        <v>170</v>
      </c>
      <c r="V7" s="386" t="s">
        <v>171</v>
      </c>
      <c r="W7" s="375" t="s">
        <v>172</v>
      </c>
      <c r="X7" s="386" t="s">
        <v>173</v>
      </c>
      <c r="Y7" s="386" t="s">
        <v>174</v>
      </c>
      <c r="Z7" s="375" t="s">
        <v>175</v>
      </c>
      <c r="AA7" s="386" t="s">
        <v>176</v>
      </c>
      <c r="AB7" s="386" t="s">
        <v>178</v>
      </c>
      <c r="AC7" s="375" t="s">
        <v>192</v>
      </c>
      <c r="AD7" s="375" t="s">
        <v>239</v>
      </c>
      <c r="AE7" s="375" t="s">
        <v>240</v>
      </c>
    </row>
    <row r="8" spans="1:40" ht="24" customHeight="1">
      <c r="A8" s="381"/>
      <c r="B8" s="382"/>
      <c r="C8" s="383"/>
      <c r="D8" s="383"/>
      <c r="E8" s="383"/>
      <c r="F8" s="383"/>
      <c r="G8" s="383"/>
      <c r="H8" s="762" t="s">
        <v>204</v>
      </c>
      <c r="I8" s="763"/>
      <c r="J8" s="763"/>
      <c r="K8" s="764"/>
      <c r="L8" s="384"/>
      <c r="M8" s="385"/>
      <c r="AI8" s="446" t="s">
        <v>241</v>
      </c>
      <c r="AJ8" s="388" t="s">
        <v>14</v>
      </c>
      <c r="AK8" s="389" t="s">
        <v>242</v>
      </c>
      <c r="AL8" s="390" t="s">
        <v>243</v>
      </c>
      <c r="AM8" s="391"/>
      <c r="AN8" s="391" t="s">
        <v>244</v>
      </c>
    </row>
    <row r="9" spans="1:40" ht="24" customHeight="1">
      <c r="A9" s="381"/>
      <c r="B9" s="382"/>
      <c r="C9" s="383"/>
      <c r="D9" s="383"/>
      <c r="E9" s="383"/>
      <c r="F9" s="383"/>
      <c r="G9" s="383"/>
      <c r="H9" s="762" t="s">
        <v>205</v>
      </c>
      <c r="I9" s="763"/>
      <c r="J9" s="763"/>
      <c r="K9" s="764"/>
      <c r="L9" s="384"/>
      <c r="M9" s="385"/>
      <c r="N9" s="392">
        <f>SUM(O9:AB9)</f>
        <v>2754.9592476500002</v>
      </c>
      <c r="O9" s="393">
        <v>63.05</v>
      </c>
      <c r="P9" s="393">
        <v>363.36509999999998</v>
      </c>
      <c r="Q9" s="393">
        <v>157.61449099999999</v>
      </c>
      <c r="R9" s="393">
        <v>122.296868</v>
      </c>
      <c r="S9" s="393"/>
      <c r="T9" s="393">
        <v>687.09411299999999</v>
      </c>
      <c r="U9" s="394">
        <v>432.493359</v>
      </c>
      <c r="V9" s="393"/>
      <c r="W9" s="393">
        <v>567.82270000000005</v>
      </c>
      <c r="X9" s="393">
        <v>128.228759</v>
      </c>
      <c r="Y9" s="393">
        <v>39.988</v>
      </c>
      <c r="AA9" s="326">
        <v>103.4341</v>
      </c>
      <c r="AB9" s="393">
        <v>89.571757649999995</v>
      </c>
      <c r="AC9" s="368">
        <f>SUM(O9:AB9)</f>
        <v>2754.9592476500002</v>
      </c>
      <c r="AE9" s="368">
        <f>AC9</f>
        <v>2754.9592476500002</v>
      </c>
      <c r="AI9" s="395">
        <v>1</v>
      </c>
      <c r="AJ9" s="396" t="s">
        <v>245</v>
      </c>
      <c r="AK9" s="397">
        <v>172677500</v>
      </c>
      <c r="AL9" s="398">
        <v>13.36</v>
      </c>
      <c r="AM9" s="399" t="e">
        <f t="shared" ref="AM9:AM25" si="0">AL9*AK9/$C$13</f>
        <v>#DIV/0!</v>
      </c>
      <c r="AN9" s="399">
        <f>AL9*AK9/AK9</f>
        <v>13.36</v>
      </c>
    </row>
    <row r="10" spans="1:40" ht="24" customHeight="1">
      <c r="A10" s="381"/>
      <c r="B10" s="382"/>
      <c r="C10" s="383"/>
      <c r="D10" s="383"/>
      <c r="E10" s="383"/>
      <c r="F10" s="383"/>
      <c r="G10" s="383"/>
      <c r="I10" s="400" t="s">
        <v>54</v>
      </c>
      <c r="J10" s="472">
        <v>84.26</v>
      </c>
      <c r="K10" s="573" t="s">
        <v>51</v>
      </c>
      <c r="L10" s="384"/>
      <c r="M10" s="385"/>
      <c r="N10" s="368">
        <f>(O10*O9+P10*P9+Q10*Q9+R10*R9+S10*S9+T10*T9+U10*U9+V10*V9+W10*W9+X10*X9+Y10*Y9+Z10*Z9+AA10*AA9+AB10*AB9)/N9</f>
        <v>84.754654906071266</v>
      </c>
      <c r="O10" s="393">
        <v>100</v>
      </c>
      <c r="P10" s="393">
        <v>63.46</v>
      </c>
      <c r="Q10" s="393">
        <v>51.39</v>
      </c>
      <c r="R10" s="393">
        <v>100</v>
      </c>
      <c r="S10" s="393"/>
      <c r="T10" s="393">
        <v>100</v>
      </c>
      <c r="U10" s="393">
        <v>98.85</v>
      </c>
      <c r="V10" s="393"/>
      <c r="W10" s="401">
        <v>77.599999999999994</v>
      </c>
      <c r="X10" s="393">
        <v>66.87</v>
      </c>
      <c r="Y10" s="393">
        <v>100</v>
      </c>
      <c r="AA10" s="393">
        <v>71.75</v>
      </c>
      <c r="AB10" s="393">
        <v>92.47</v>
      </c>
      <c r="AC10" s="402">
        <f>J10</f>
        <v>84.26</v>
      </c>
      <c r="AE10" s="402">
        <f>J10</f>
        <v>84.26</v>
      </c>
      <c r="AI10" s="395">
        <v>2</v>
      </c>
      <c r="AJ10" s="396" t="s">
        <v>246</v>
      </c>
      <c r="AK10" s="397">
        <v>525283600</v>
      </c>
      <c r="AL10" s="398">
        <v>35.229999999999997</v>
      </c>
      <c r="AM10" s="399" t="e">
        <f t="shared" si="0"/>
        <v>#DIV/0!</v>
      </c>
      <c r="AN10" s="399">
        <f t="shared" ref="AN10:AN23" si="1">(AL10*AK10/AK10)</f>
        <v>35.229999999999997</v>
      </c>
    </row>
    <row r="11" spans="1:40" ht="24" customHeight="1">
      <c r="A11" s="507"/>
      <c r="B11" s="508"/>
      <c r="C11" s="509"/>
      <c r="D11" s="509"/>
      <c r="E11" s="509"/>
      <c r="F11" s="509"/>
      <c r="G11" s="509"/>
      <c r="H11" s="768"/>
      <c r="I11" s="769"/>
      <c r="J11" s="769"/>
      <c r="K11" s="770"/>
      <c r="L11" s="510"/>
      <c r="M11" s="376"/>
      <c r="AE11" s="368" t="s">
        <v>20</v>
      </c>
      <c r="AI11" s="395"/>
      <c r="AJ11" s="396" t="s">
        <v>247</v>
      </c>
      <c r="AK11" s="397">
        <v>63771100</v>
      </c>
      <c r="AL11" s="398">
        <v>0.28000000000000003</v>
      </c>
      <c r="AM11" s="399" t="e">
        <f t="shared" si="0"/>
        <v>#DIV/0!</v>
      </c>
      <c r="AN11" s="399"/>
    </row>
    <row r="12" spans="1:40" ht="24" customHeight="1">
      <c r="A12" s="379" t="s">
        <v>145</v>
      </c>
      <c r="B12" s="302">
        <v>16.36</v>
      </c>
      <c r="C12" s="506">
        <v>0.69</v>
      </c>
      <c r="D12" s="506">
        <v>0.72</v>
      </c>
      <c r="E12" s="506">
        <v>0.75</v>
      </c>
      <c r="F12" s="506">
        <v>0.78</v>
      </c>
      <c r="G12" s="506">
        <v>0.81</v>
      </c>
      <c r="H12" s="739" t="s">
        <v>206</v>
      </c>
      <c r="I12" s="739"/>
      <c r="J12" s="739"/>
      <c r="K12" s="740"/>
      <c r="L12" s="303">
        <v>5</v>
      </c>
      <c r="M12" s="380">
        <f>IF(L12=0,"-",ROUND(L12*B12/B$71,4))</f>
        <v>0.97799999999999998</v>
      </c>
      <c r="P12" s="368" t="s">
        <v>177</v>
      </c>
      <c r="Q12" s="368">
        <v>88227925</v>
      </c>
      <c r="R12" s="368">
        <v>454314777</v>
      </c>
      <c r="S12" s="368">
        <v>163703662</v>
      </c>
      <c r="T12" s="368">
        <v>340069114</v>
      </c>
      <c r="V12" s="368">
        <v>145609485</v>
      </c>
      <c r="W12" s="368">
        <v>376474997</v>
      </c>
      <c r="X12" s="368">
        <v>154664423</v>
      </c>
      <c r="Y12" s="368">
        <v>364453100</v>
      </c>
      <c r="Z12" s="368">
        <v>301496841</v>
      </c>
      <c r="AA12" s="368">
        <v>117859601</v>
      </c>
      <c r="AB12" s="368">
        <v>103922683</v>
      </c>
      <c r="AC12" s="368">
        <v>110709100</v>
      </c>
      <c r="AD12" s="368">
        <v>396724840</v>
      </c>
      <c r="AE12" s="368">
        <f>Q12+R12+S12+T12+V12+W12+X12+Y12+Z12+AA12+AB12+AC12+AD12</f>
        <v>3118230548</v>
      </c>
      <c r="AI12" s="395"/>
      <c r="AJ12" s="396" t="s">
        <v>248</v>
      </c>
      <c r="AK12" s="397">
        <v>85121200</v>
      </c>
      <c r="AL12" s="398">
        <v>2.0499999999999998</v>
      </c>
      <c r="AM12" s="399" t="e">
        <f t="shared" si="0"/>
        <v>#DIV/0!</v>
      </c>
      <c r="AN12" s="399"/>
    </row>
    <row r="13" spans="1:40" ht="24" customHeight="1">
      <c r="A13" s="381" t="s">
        <v>21</v>
      </c>
      <c r="B13" s="382"/>
      <c r="C13" s="383"/>
      <c r="D13" s="383"/>
      <c r="E13" s="383"/>
      <c r="F13" s="383"/>
      <c r="G13" s="383"/>
      <c r="H13" s="762" t="s">
        <v>207</v>
      </c>
      <c r="I13" s="763"/>
      <c r="J13" s="763"/>
      <c r="K13" s="764"/>
      <c r="L13" s="384"/>
      <c r="M13" s="385"/>
      <c r="P13" s="368" t="s">
        <v>179</v>
      </c>
      <c r="Q13" s="368">
        <v>62767727</v>
      </c>
      <c r="R13" s="368">
        <v>213672936</v>
      </c>
      <c r="S13" s="368">
        <v>25795924</v>
      </c>
      <c r="T13" s="368">
        <v>114556854</v>
      </c>
      <c r="V13" s="368">
        <v>128932639</v>
      </c>
      <c r="W13" s="368">
        <v>336587666</v>
      </c>
      <c r="X13" s="368">
        <v>52373847</v>
      </c>
      <c r="Y13" s="368">
        <v>90762837</v>
      </c>
      <c r="Z13" s="368">
        <v>241819557</v>
      </c>
      <c r="AA13" s="368">
        <v>53872593</v>
      </c>
      <c r="AB13" s="368">
        <v>20156387</v>
      </c>
      <c r="AC13" s="368">
        <v>73919342</v>
      </c>
      <c r="AD13" s="368">
        <v>64957443</v>
      </c>
      <c r="AE13" s="403">
        <f>Q13+R13+S13+T13+V13+W13+X13+Y13+Z13+AA13+AB13+AC13+AD13</f>
        <v>1480175752</v>
      </c>
      <c r="AI13" s="395"/>
      <c r="AJ13" s="396" t="s">
        <v>249</v>
      </c>
      <c r="AK13" s="397">
        <v>115875000</v>
      </c>
      <c r="AL13" s="398">
        <v>0</v>
      </c>
      <c r="AM13" s="399" t="e">
        <f t="shared" si="0"/>
        <v>#DIV/0!</v>
      </c>
      <c r="AN13" s="399"/>
    </row>
    <row r="14" spans="1:40" ht="24" customHeight="1">
      <c r="A14" s="381"/>
      <c r="B14" s="382"/>
      <c r="C14" s="383"/>
      <c r="D14" s="383"/>
      <c r="E14" s="383"/>
      <c r="F14" s="383"/>
      <c r="G14" s="383"/>
      <c r="H14" s="762" t="s">
        <v>299</v>
      </c>
      <c r="I14" s="763"/>
      <c r="J14" s="763"/>
      <c r="K14" s="764"/>
      <c r="L14" s="384"/>
      <c r="M14" s="385"/>
      <c r="P14" s="368" t="s">
        <v>194</v>
      </c>
      <c r="Q14" s="368">
        <v>19.71</v>
      </c>
      <c r="R14" s="368">
        <v>38.619999999999997</v>
      </c>
      <c r="S14" s="368">
        <v>5.8</v>
      </c>
      <c r="T14" s="368">
        <v>21.95</v>
      </c>
      <c r="AE14" s="404">
        <f>(AE13/AE12)*100</f>
        <v>47.468451393030229</v>
      </c>
      <c r="AI14" s="395">
        <v>4</v>
      </c>
      <c r="AJ14" s="396" t="s">
        <v>250</v>
      </c>
      <c r="AK14" s="397">
        <v>1039701600</v>
      </c>
      <c r="AL14" s="398">
        <v>5.62</v>
      </c>
      <c r="AM14" s="399" t="e">
        <f t="shared" si="0"/>
        <v>#DIV/0!</v>
      </c>
      <c r="AN14" s="399">
        <f t="shared" si="1"/>
        <v>5.62</v>
      </c>
    </row>
    <row r="15" spans="1:40" ht="24" customHeight="1">
      <c r="A15" s="381"/>
      <c r="B15" s="382"/>
      <c r="C15" s="383"/>
      <c r="D15" s="383"/>
      <c r="E15" s="383"/>
      <c r="F15" s="383"/>
      <c r="G15" s="383"/>
      <c r="H15" s="577"/>
      <c r="I15" s="400" t="s">
        <v>199</v>
      </c>
      <c r="J15" s="472">
        <v>99.45</v>
      </c>
      <c r="K15" s="573" t="s">
        <v>51</v>
      </c>
      <c r="L15" s="384"/>
      <c r="M15" s="385"/>
      <c r="Q15" s="368">
        <f>(Q12*Q14)/AE12</f>
        <v>0.55767922704283635</v>
      </c>
      <c r="R15" s="368">
        <f>(R12*R14)/AE12</f>
        <v>5.6267926369310901</v>
      </c>
      <c r="S15" s="368">
        <f>(S12*S14)/AE12</f>
        <v>0.3044935982071586</v>
      </c>
      <c r="T15" s="368">
        <f>(T12*T14)/AE12</f>
        <v>2.3938310325026038</v>
      </c>
      <c r="V15" s="368">
        <f>(V12*V14)/AE12</f>
        <v>0</v>
      </c>
      <c r="W15" s="368">
        <f>(W12*W14)/AE12</f>
        <v>0</v>
      </c>
      <c r="X15" s="368">
        <f>(X12*X14)/AE12</f>
        <v>0</v>
      </c>
      <c r="Y15" s="368">
        <f>(Y12*Y14)/AE12</f>
        <v>0</v>
      </c>
      <c r="Z15" s="368">
        <f>(Z12*Z14)/AE12</f>
        <v>0</v>
      </c>
      <c r="AA15" s="368">
        <f>(AA12*AA14)/AE12</f>
        <v>0</v>
      </c>
      <c r="AB15" s="368">
        <f>(AB12*AB14)/AE12</f>
        <v>0</v>
      </c>
      <c r="AC15" s="368">
        <f>(AC12*AC14)/AE12</f>
        <v>0</v>
      </c>
      <c r="AD15" s="368">
        <f>(AD12*AD14)/AE12</f>
        <v>0</v>
      </c>
      <c r="AE15" s="368">
        <f>(Q15+R15+S15+T15+V15+W15+X15+Y15+Z15+AA15+AB15+AC15+AD15)/AE12</f>
        <v>2.8486657281903096E-9</v>
      </c>
      <c r="AI15" s="395">
        <v>5</v>
      </c>
      <c r="AJ15" s="396" t="s">
        <v>251</v>
      </c>
      <c r="AK15" s="397">
        <v>636679600</v>
      </c>
      <c r="AL15" s="398">
        <v>13.07</v>
      </c>
      <c r="AM15" s="399" t="e">
        <f t="shared" si="0"/>
        <v>#DIV/0!</v>
      </c>
      <c r="AN15" s="399">
        <f t="shared" si="1"/>
        <v>13.07</v>
      </c>
    </row>
    <row r="16" spans="1:40" ht="24" customHeight="1">
      <c r="A16" s="507"/>
      <c r="B16" s="508"/>
      <c r="C16" s="509"/>
      <c r="D16" s="509"/>
      <c r="E16" s="509"/>
      <c r="F16" s="509"/>
      <c r="G16" s="509"/>
      <c r="H16" s="511"/>
      <c r="I16" s="512"/>
      <c r="J16" s="513"/>
      <c r="K16" s="514"/>
      <c r="L16" s="510"/>
      <c r="M16" s="376"/>
      <c r="S16" s="368">
        <v>278676</v>
      </c>
      <c r="AI16" s="395">
        <v>8</v>
      </c>
      <c r="AJ16" s="396" t="s">
        <v>252</v>
      </c>
      <c r="AK16" s="397">
        <v>168866326</v>
      </c>
      <c r="AL16" s="398">
        <v>25.53</v>
      </c>
      <c r="AM16" s="399" t="e">
        <f t="shared" si="0"/>
        <v>#DIV/0!</v>
      </c>
      <c r="AN16" s="399">
        <f t="shared" si="1"/>
        <v>25.529999999999998</v>
      </c>
    </row>
    <row r="17" spans="1:40" ht="24" customHeight="1">
      <c r="A17" s="379" t="s">
        <v>146</v>
      </c>
      <c r="B17" s="302">
        <v>5.45</v>
      </c>
      <c r="C17" s="405">
        <v>0.92</v>
      </c>
      <c r="D17" s="405">
        <v>0.94</v>
      </c>
      <c r="E17" s="405">
        <v>0.96</v>
      </c>
      <c r="F17" s="405">
        <v>0.98</v>
      </c>
      <c r="G17" s="405">
        <v>1</v>
      </c>
      <c r="H17" s="738" t="s">
        <v>312</v>
      </c>
      <c r="I17" s="739"/>
      <c r="J17" s="739"/>
      <c r="K17" s="740"/>
      <c r="L17" s="303">
        <v>4.2649999999999997</v>
      </c>
      <c r="M17" s="380">
        <f>IF(L17=0,"-",ROUND(L17*B17/B$71,4))</f>
        <v>0.27789999999999998</v>
      </c>
      <c r="S17" s="368">
        <v>6516821</v>
      </c>
      <c r="AI17" s="395">
        <v>9</v>
      </c>
      <c r="AJ17" s="396" t="s">
        <v>253</v>
      </c>
      <c r="AK17" s="397">
        <v>189999700</v>
      </c>
      <c r="AL17" s="398">
        <v>3.53</v>
      </c>
      <c r="AM17" s="399" t="e">
        <f t="shared" si="0"/>
        <v>#DIV/0!</v>
      </c>
      <c r="AN17" s="399">
        <f>(AL17*AK17/(AK17+AK18+AK19))+(AL18*AK18/(AK17+AK18+AK19))+(AL19*AK19/(AK17+AK18+AK19))</f>
        <v>17.929695702793666</v>
      </c>
    </row>
    <row r="18" spans="1:40" ht="24" customHeight="1">
      <c r="A18" s="381" t="s">
        <v>23</v>
      </c>
      <c r="B18" s="382"/>
      <c r="C18" s="383"/>
      <c r="D18" s="383"/>
      <c r="E18" s="383"/>
      <c r="F18" s="383"/>
      <c r="G18" s="383"/>
      <c r="H18" s="762" t="s">
        <v>313</v>
      </c>
      <c r="I18" s="763"/>
      <c r="J18" s="763"/>
      <c r="K18" s="764"/>
      <c r="L18" s="384"/>
      <c r="M18" s="385"/>
      <c r="S18" s="368">
        <v>59800</v>
      </c>
      <c r="AI18" s="395"/>
      <c r="AJ18" s="396" t="s">
        <v>254</v>
      </c>
      <c r="AK18" s="397">
        <v>93741300</v>
      </c>
      <c r="AL18" s="398">
        <v>63.29</v>
      </c>
      <c r="AM18" s="399" t="e">
        <f t="shared" si="0"/>
        <v>#DIV/0!</v>
      </c>
      <c r="AN18" s="399"/>
    </row>
    <row r="19" spans="1:40" ht="24" customHeight="1">
      <c r="A19" s="381" t="s">
        <v>24</v>
      </c>
      <c r="B19" s="382"/>
      <c r="C19" s="383"/>
      <c r="D19" s="383"/>
      <c r="E19" s="383"/>
      <c r="F19" s="383"/>
      <c r="G19" s="383"/>
      <c r="H19" s="762" t="s">
        <v>272</v>
      </c>
      <c r="I19" s="763"/>
      <c r="J19" s="763"/>
      <c r="K19" s="764"/>
      <c r="L19" s="384"/>
      <c r="M19" s="385"/>
      <c r="S19" s="368">
        <v>709266</v>
      </c>
      <c r="AI19" s="395"/>
      <c r="AJ19" s="396" t="s">
        <v>255</v>
      </c>
      <c r="AK19" s="397">
        <v>84563400</v>
      </c>
      <c r="AL19" s="398">
        <v>0</v>
      </c>
      <c r="AM19" s="399" t="e">
        <f t="shared" si="0"/>
        <v>#DIV/0!</v>
      </c>
      <c r="AN19" s="399"/>
    </row>
    <row r="20" spans="1:40" ht="24" customHeight="1">
      <c r="A20" s="381"/>
      <c r="B20" s="382"/>
      <c r="C20" s="383"/>
      <c r="D20" s="383"/>
      <c r="E20" s="383"/>
      <c r="F20" s="383"/>
      <c r="G20" s="383"/>
      <c r="H20" s="577" t="s">
        <v>200</v>
      </c>
      <c r="I20" s="400" t="s">
        <v>56</v>
      </c>
      <c r="J20" s="472">
        <v>98.53</v>
      </c>
      <c r="K20" s="573" t="s">
        <v>51</v>
      </c>
      <c r="L20" s="384"/>
      <c r="M20" s="385"/>
      <c r="S20" s="368">
        <v>10951834</v>
      </c>
      <c r="W20" s="368">
        <v>304044</v>
      </c>
      <c r="X20" s="368">
        <v>12443540</v>
      </c>
      <c r="Z20" s="368">
        <v>12690293</v>
      </c>
      <c r="AD20" s="368">
        <v>16191016</v>
      </c>
      <c r="AI20" s="395">
        <v>10</v>
      </c>
      <c r="AJ20" s="396" t="s">
        <v>256</v>
      </c>
      <c r="AK20" s="397">
        <v>305794900</v>
      </c>
      <c r="AL20" s="398">
        <v>18.23</v>
      </c>
      <c r="AM20" s="399" t="e">
        <f t="shared" si="0"/>
        <v>#DIV/0!</v>
      </c>
      <c r="AN20" s="399">
        <f>(AL20*AK20/AK20)</f>
        <v>18.23</v>
      </c>
    </row>
    <row r="21" spans="1:40" ht="24" customHeight="1">
      <c r="A21" s="381"/>
      <c r="B21" s="382"/>
      <c r="C21" s="383"/>
      <c r="D21" s="383"/>
      <c r="E21" s="383"/>
      <c r="F21" s="383"/>
      <c r="G21" s="383"/>
      <c r="H21" s="424"/>
      <c r="I21" s="425"/>
      <c r="J21" s="425"/>
      <c r="K21" s="426"/>
      <c r="L21" s="384"/>
      <c r="M21" s="385"/>
      <c r="AI21" s="395"/>
      <c r="AJ21" s="396" t="s">
        <v>257</v>
      </c>
      <c r="AK21" s="397">
        <v>391412000</v>
      </c>
      <c r="AL21" s="398">
        <v>0</v>
      </c>
      <c r="AM21" s="399" t="e">
        <f t="shared" si="0"/>
        <v>#DIV/0!</v>
      </c>
      <c r="AN21" s="399"/>
    </row>
    <row r="22" spans="1:40" ht="24" customHeight="1">
      <c r="A22" s="379" t="s">
        <v>147</v>
      </c>
      <c r="B22" s="302">
        <v>5.45</v>
      </c>
      <c r="C22" s="405">
        <v>0.96</v>
      </c>
      <c r="D22" s="405">
        <v>0.97</v>
      </c>
      <c r="E22" s="405">
        <v>0.98</v>
      </c>
      <c r="F22" s="405">
        <v>0.99</v>
      </c>
      <c r="G22" s="405">
        <v>1</v>
      </c>
      <c r="H22" s="738" t="s">
        <v>300</v>
      </c>
      <c r="I22" s="739"/>
      <c r="J22" s="739"/>
      <c r="K22" s="740"/>
      <c r="L22" s="303">
        <v>4.59</v>
      </c>
      <c r="M22" s="380">
        <f>IF(L22=0,"-",ROUND(L22*B22/B$71,4))</f>
        <v>0.29909999999999998</v>
      </c>
      <c r="Q22" s="368" t="s">
        <v>164</v>
      </c>
      <c r="R22" s="368" t="s">
        <v>165</v>
      </c>
      <c r="S22" s="368" t="s">
        <v>166</v>
      </c>
      <c r="T22" s="368" t="s">
        <v>167</v>
      </c>
      <c r="U22" s="368" t="s">
        <v>168</v>
      </c>
      <c r="V22" s="368" t="s">
        <v>169</v>
      </c>
      <c r="W22" s="368" t="s">
        <v>170</v>
      </c>
      <c r="X22" s="368" t="s">
        <v>171</v>
      </c>
      <c r="Y22" s="368" t="s">
        <v>172</v>
      </c>
      <c r="Z22" s="368" t="s">
        <v>173</v>
      </c>
      <c r="AA22" s="368" t="s">
        <v>174</v>
      </c>
      <c r="AB22" s="368" t="s">
        <v>175</v>
      </c>
      <c r="AC22" s="368" t="s">
        <v>176</v>
      </c>
      <c r="AD22" s="368" t="s">
        <v>178</v>
      </c>
      <c r="AE22" s="368" t="s">
        <v>20</v>
      </c>
      <c r="AI22" s="395"/>
      <c r="AJ22" s="396" t="s">
        <v>258</v>
      </c>
      <c r="AK22" s="397">
        <v>72151000</v>
      </c>
      <c r="AL22" s="398">
        <v>20.47</v>
      </c>
      <c r="AM22" s="399" t="e">
        <f t="shared" si="0"/>
        <v>#DIV/0!</v>
      </c>
      <c r="AN22" s="399"/>
    </row>
    <row r="23" spans="1:40" ht="24" customHeight="1">
      <c r="A23" s="381" t="s">
        <v>26</v>
      </c>
      <c r="B23" s="382"/>
      <c r="C23" s="383"/>
      <c r="D23" s="383"/>
      <c r="E23" s="383"/>
      <c r="F23" s="383"/>
      <c r="G23" s="383"/>
      <c r="H23" s="765" t="s">
        <v>301</v>
      </c>
      <c r="I23" s="766"/>
      <c r="J23" s="766"/>
      <c r="K23" s="767"/>
      <c r="L23" s="384"/>
      <c r="M23" s="385"/>
      <c r="P23" s="368" t="s">
        <v>179</v>
      </c>
      <c r="Q23" s="368">
        <v>0</v>
      </c>
      <c r="R23" s="368" t="e">
        <f>R25+#REF!</f>
        <v>#REF!</v>
      </c>
      <c r="S23" s="368" t="e">
        <f>S25+#REF!+S26+S27+S28+S29+S30+S31</f>
        <v>#REF!</v>
      </c>
      <c r="T23" s="368">
        <v>15621046</v>
      </c>
      <c r="W23" s="368" t="e">
        <f>W25+#REF!</f>
        <v>#REF!</v>
      </c>
      <c r="X23" s="368" t="e">
        <f>X25+#REF!</f>
        <v>#REF!</v>
      </c>
      <c r="Y23" s="368">
        <v>3065219</v>
      </c>
      <c r="Z23" s="368" t="e">
        <f>Z25+#REF!</f>
        <v>#REF!</v>
      </c>
      <c r="AA23" s="368">
        <v>5762411</v>
      </c>
      <c r="AB23" s="368">
        <v>15507983</v>
      </c>
      <c r="AD23" s="368" t="e">
        <f>AD25+#REF!</f>
        <v>#REF!</v>
      </c>
      <c r="AE23" s="368" t="e">
        <f>Q23+R23+S23+T23+W23+X23+Y23+AA23+AB23+AD23</f>
        <v>#REF!</v>
      </c>
      <c r="AF23" s="368" t="e">
        <f>AE23/AE24*100</f>
        <v>#REF!</v>
      </c>
      <c r="AG23" s="368" t="e">
        <f>R23+T23+W23+X23+Y23+Z23+AA23+AB23+AD23</f>
        <v>#REF!</v>
      </c>
      <c r="AH23" s="368" t="e">
        <f>AG23/AG24*100</f>
        <v>#REF!</v>
      </c>
      <c r="AI23" s="395">
        <v>12</v>
      </c>
      <c r="AJ23" s="396" t="s">
        <v>259</v>
      </c>
      <c r="AK23" s="397">
        <v>232129108</v>
      </c>
      <c r="AL23" s="398">
        <v>8.2200000000000006</v>
      </c>
      <c r="AM23" s="399" t="e">
        <f t="shared" si="0"/>
        <v>#DIV/0!</v>
      </c>
      <c r="AN23" s="399">
        <f t="shared" si="1"/>
        <v>8.2200000000000006</v>
      </c>
    </row>
    <row r="24" spans="1:40" ht="24" customHeight="1">
      <c r="A24" s="381"/>
      <c r="B24" s="382"/>
      <c r="C24" s="383"/>
      <c r="D24" s="383"/>
      <c r="E24" s="383"/>
      <c r="F24" s="383"/>
      <c r="G24" s="383"/>
      <c r="H24" s="765" t="s">
        <v>302</v>
      </c>
      <c r="I24" s="766"/>
      <c r="J24" s="766"/>
      <c r="K24" s="767"/>
      <c r="L24" s="384"/>
      <c r="M24" s="385"/>
      <c r="P24" s="368" t="s">
        <v>177</v>
      </c>
      <c r="Q24" s="368">
        <v>0</v>
      </c>
      <c r="R24" s="368" t="e">
        <f>#REF!+R20</f>
        <v>#REF!</v>
      </c>
      <c r="S24" s="368" t="e">
        <f>#REF!+S20+S19+S18+S17+S16+#REF!+#REF!</f>
        <v>#REF!</v>
      </c>
      <c r="T24" s="368">
        <v>31415454</v>
      </c>
      <c r="W24" s="368" t="e">
        <f>#REF!+W20</f>
        <v>#REF!</v>
      </c>
      <c r="X24" s="368" t="e">
        <f>#REF!+X20</f>
        <v>#REF!</v>
      </c>
      <c r="Y24" s="368">
        <v>3065219</v>
      </c>
      <c r="Z24" s="368" t="e">
        <f>#REF!+Z20</f>
        <v>#REF!</v>
      </c>
      <c r="AA24" s="368">
        <v>5836386</v>
      </c>
      <c r="AB24" s="368">
        <v>15507983</v>
      </c>
      <c r="AD24" s="368" t="e">
        <f>#REF!+AD20</f>
        <v>#REF!</v>
      </c>
      <c r="AE24" s="368" t="e">
        <f>Q24+R24+S24+T24+W24+X24+Y24+Z24+AA24+AB24+AD24</f>
        <v>#REF!</v>
      </c>
      <c r="AG24" s="368" t="e">
        <f>R24+T24+W24+X24+Y24+Z24+AA24+AB24</f>
        <v>#REF!</v>
      </c>
      <c r="AI24" s="395">
        <v>13</v>
      </c>
      <c r="AJ24" s="396" t="s">
        <v>260</v>
      </c>
      <c r="AK24" s="397">
        <v>75897000</v>
      </c>
      <c r="AL24" s="398">
        <v>11.23</v>
      </c>
      <c r="AM24" s="399" t="e">
        <f t="shared" si="0"/>
        <v>#DIV/0!</v>
      </c>
      <c r="AN24" s="399" t="e">
        <f>(AL24*AK24/(AK24+AK25+#REF!))+(AL25*AK25/(AK24+AK25+#REF!))+(#REF!*#REF!/(AK24+AK25+#REF!))</f>
        <v>#REF!</v>
      </c>
    </row>
    <row r="25" spans="1:40" ht="24" customHeight="1">
      <c r="A25" s="381"/>
      <c r="B25" s="382"/>
      <c r="C25" s="383"/>
      <c r="D25" s="383"/>
      <c r="E25" s="383"/>
      <c r="F25" s="383"/>
      <c r="G25" s="383"/>
      <c r="H25" s="571"/>
      <c r="I25" s="400" t="s">
        <v>56</v>
      </c>
      <c r="J25" s="472">
        <v>99.59</v>
      </c>
      <c r="K25" s="573" t="s">
        <v>51</v>
      </c>
      <c r="L25" s="384"/>
      <c r="M25" s="385"/>
      <c r="R25" s="368">
        <v>790426</v>
      </c>
      <c r="S25" s="368">
        <v>5889465</v>
      </c>
      <c r="W25" s="368">
        <v>28318909</v>
      </c>
      <c r="X25" s="368">
        <v>51237335</v>
      </c>
      <c r="Z25" s="368">
        <v>117026964</v>
      </c>
      <c r="AD25" s="368">
        <v>7959313</v>
      </c>
      <c r="AI25" s="395"/>
      <c r="AJ25" s="396" t="s">
        <v>261</v>
      </c>
      <c r="AK25" s="397">
        <v>28808000</v>
      </c>
      <c r="AL25" s="398">
        <v>79.489999999999995</v>
      </c>
      <c r="AM25" s="399" t="e">
        <f t="shared" si="0"/>
        <v>#DIV/0!</v>
      </c>
      <c r="AN25" s="399"/>
    </row>
    <row r="26" spans="1:40" ht="24" customHeight="1">
      <c r="A26" s="507"/>
      <c r="B26" s="508"/>
      <c r="C26" s="509"/>
      <c r="D26" s="509"/>
      <c r="E26" s="509"/>
      <c r="F26" s="509"/>
      <c r="G26" s="509"/>
      <c r="H26" s="511"/>
      <c r="I26" s="587"/>
      <c r="J26" s="587"/>
      <c r="K26" s="588"/>
      <c r="L26" s="510"/>
      <c r="M26" s="376"/>
      <c r="S26" s="368">
        <v>673915</v>
      </c>
      <c r="AI26" s="771" t="s">
        <v>20</v>
      </c>
      <c r="AJ26" s="772"/>
      <c r="AK26" s="408">
        <f>SUM(AK9:AK25)</f>
        <v>4282472334</v>
      </c>
      <c r="AL26" s="409" t="e">
        <f>SUM(AM9:AM25)</f>
        <v>#DIV/0!</v>
      </c>
      <c r="AM26" s="399"/>
      <c r="AN26" s="399"/>
    </row>
    <row r="27" spans="1:40" ht="24" customHeight="1">
      <c r="A27" s="379" t="s">
        <v>148</v>
      </c>
      <c r="B27" s="302">
        <v>5.45</v>
      </c>
      <c r="C27" s="405">
        <v>0.96</v>
      </c>
      <c r="D27" s="405">
        <v>0.97</v>
      </c>
      <c r="E27" s="405">
        <v>0.98</v>
      </c>
      <c r="F27" s="405">
        <v>0.99</v>
      </c>
      <c r="G27" s="405">
        <v>1</v>
      </c>
      <c r="H27" s="779" t="s">
        <v>323</v>
      </c>
      <c r="I27" s="780"/>
      <c r="J27" s="780"/>
      <c r="K27" s="781"/>
      <c r="L27" s="303">
        <v>5</v>
      </c>
      <c r="M27" s="380">
        <f>IF(L27=0,"-",ROUND(L27*B27/B$71,4))</f>
        <v>0.32579999999999998</v>
      </c>
      <c r="S27" s="368">
        <v>59800</v>
      </c>
      <c r="AD27" s="368">
        <v>759313</v>
      </c>
      <c r="AI27" s="430"/>
      <c r="AJ27" s="431"/>
      <c r="AK27" s="432"/>
      <c r="AL27" s="433"/>
      <c r="AM27" s="434"/>
      <c r="AN27" s="434"/>
    </row>
    <row r="28" spans="1:40" ht="24" customHeight="1">
      <c r="A28" s="381" t="s">
        <v>28</v>
      </c>
      <c r="B28" s="382"/>
      <c r="C28" s="383"/>
      <c r="D28" s="383"/>
      <c r="E28" s="383"/>
      <c r="F28" s="383"/>
      <c r="G28" s="383"/>
      <c r="H28" s="762" t="s">
        <v>324</v>
      </c>
      <c r="I28" s="763"/>
      <c r="J28" s="763"/>
      <c r="K28" s="764"/>
      <c r="L28" s="384"/>
      <c r="M28" s="385"/>
      <c r="S28" s="368">
        <v>921324</v>
      </c>
      <c r="AI28" s="430"/>
      <c r="AJ28" s="431"/>
      <c r="AK28" s="432"/>
      <c r="AL28" s="433"/>
      <c r="AM28" s="434"/>
      <c r="AN28" s="434"/>
    </row>
    <row r="29" spans="1:40" ht="24" customHeight="1">
      <c r="A29" s="381" t="s">
        <v>60</v>
      </c>
      <c r="B29" s="382"/>
      <c r="C29" s="383"/>
      <c r="D29" s="383"/>
      <c r="E29" s="383"/>
      <c r="F29" s="383"/>
      <c r="G29" s="383"/>
      <c r="H29" s="762" t="s">
        <v>325</v>
      </c>
      <c r="I29" s="763"/>
      <c r="J29" s="763"/>
      <c r="K29" s="764"/>
      <c r="L29" s="384"/>
      <c r="M29" s="385"/>
      <c r="S29" s="368">
        <v>278675</v>
      </c>
      <c r="AD29" s="368" t="e">
        <f>AD27+#REF!</f>
        <v>#REF!</v>
      </c>
      <c r="AI29" s="446" t="s">
        <v>263</v>
      </c>
      <c r="AJ29" s="435" t="s">
        <v>14</v>
      </c>
      <c r="AK29" s="436" t="s">
        <v>264</v>
      </c>
      <c r="AL29" s="437" t="s">
        <v>86</v>
      </c>
      <c r="AM29" s="438"/>
      <c r="AN29" s="438" t="s">
        <v>265</v>
      </c>
    </row>
    <row r="30" spans="1:40" ht="24" customHeight="1">
      <c r="A30" s="381"/>
      <c r="B30" s="382"/>
      <c r="C30" s="383"/>
      <c r="D30" s="383"/>
      <c r="E30" s="383"/>
      <c r="F30" s="383"/>
      <c r="G30" s="383"/>
      <c r="H30" s="577"/>
      <c r="I30" s="400" t="s">
        <v>66</v>
      </c>
      <c r="J30" s="591">
        <v>6</v>
      </c>
      <c r="K30" s="578" t="s">
        <v>61</v>
      </c>
      <c r="L30" s="384"/>
      <c r="M30" s="385"/>
      <c r="S30" s="368">
        <v>250781</v>
      </c>
      <c r="AI30" s="439">
        <v>2</v>
      </c>
      <c r="AJ30" s="440" t="s">
        <v>266</v>
      </c>
      <c r="AK30" s="441">
        <v>300000</v>
      </c>
      <c r="AL30" s="442">
        <v>25981.55</v>
      </c>
      <c r="AM30" s="443"/>
      <c r="AN30" s="443">
        <f>AL30*100/AK30</f>
        <v>8.6605166666666662</v>
      </c>
    </row>
    <row r="31" spans="1:40" ht="24" customHeight="1">
      <c r="A31" s="381"/>
      <c r="B31" s="382"/>
      <c r="C31" s="383"/>
      <c r="D31" s="383"/>
      <c r="E31" s="383"/>
      <c r="F31" s="383"/>
      <c r="G31" s="383"/>
      <c r="H31" s="577"/>
      <c r="I31" s="400" t="s">
        <v>67</v>
      </c>
      <c r="J31" s="591">
        <v>6</v>
      </c>
      <c r="K31" s="578" t="s">
        <v>61</v>
      </c>
      <c r="L31" s="384"/>
      <c r="M31" s="385"/>
      <c r="S31" s="368">
        <v>39205</v>
      </c>
      <c r="AD31" s="368" t="e">
        <f>AD29/AD23*100</f>
        <v>#REF!</v>
      </c>
      <c r="AI31" s="395">
        <v>3</v>
      </c>
      <c r="AJ31" s="396" t="s">
        <v>267</v>
      </c>
      <c r="AK31" s="397">
        <v>300000</v>
      </c>
      <c r="AL31" s="410">
        <v>26160</v>
      </c>
      <c r="AM31" s="411"/>
      <c r="AN31" s="411">
        <f t="shared" ref="AN31:AN44" si="2">AL31*100/AK31</f>
        <v>8.7200000000000006</v>
      </c>
    </row>
    <row r="32" spans="1:40" ht="24" customHeight="1">
      <c r="A32" s="381"/>
      <c r="B32" s="382"/>
      <c r="C32" s="383"/>
      <c r="D32" s="383"/>
      <c r="E32" s="383"/>
      <c r="F32" s="383"/>
      <c r="G32" s="383"/>
      <c r="H32" s="571"/>
      <c r="I32" s="589" t="s">
        <v>81</v>
      </c>
      <c r="J32" s="532">
        <f>J31*100/J30</f>
        <v>100</v>
      </c>
      <c r="K32" s="573" t="s">
        <v>51</v>
      </c>
      <c r="L32" s="384"/>
      <c r="M32" s="385"/>
      <c r="R32" s="368" t="e">
        <f>R23/R24*100</f>
        <v>#REF!</v>
      </c>
      <c r="S32" s="368" t="e">
        <f>S23/S24*100</f>
        <v>#REF!</v>
      </c>
      <c r="T32" s="368">
        <f t="shared" ref="T32:AD32" si="3">T23/T24*100</f>
        <v>49.724081657390656</v>
      </c>
      <c r="W32" s="368" t="e">
        <f t="shared" si="3"/>
        <v>#REF!</v>
      </c>
      <c r="X32" s="368" t="e">
        <f t="shared" si="3"/>
        <v>#REF!</v>
      </c>
      <c r="Y32" s="368">
        <f t="shared" si="3"/>
        <v>100</v>
      </c>
      <c r="Z32" s="368" t="e">
        <f t="shared" si="3"/>
        <v>#REF!</v>
      </c>
      <c r="AA32" s="368">
        <f t="shared" si="3"/>
        <v>98.732520433021392</v>
      </c>
      <c r="AB32" s="368">
        <f>AB23/AB24*100</f>
        <v>100</v>
      </c>
      <c r="AD32" s="368" t="e">
        <f t="shared" si="3"/>
        <v>#REF!</v>
      </c>
      <c r="AI32" s="395">
        <v>4</v>
      </c>
      <c r="AJ32" s="396" t="s">
        <v>268</v>
      </c>
      <c r="AK32" s="397">
        <v>500000</v>
      </c>
      <c r="AL32" s="410">
        <v>166219.85</v>
      </c>
      <c r="AM32" s="411"/>
      <c r="AN32" s="411">
        <f t="shared" si="2"/>
        <v>33.243969999999997</v>
      </c>
    </row>
    <row r="33" spans="1:40" ht="24" customHeight="1">
      <c r="A33" s="507"/>
      <c r="B33" s="508"/>
      <c r="C33" s="509"/>
      <c r="D33" s="509"/>
      <c r="E33" s="509"/>
      <c r="F33" s="509"/>
      <c r="G33" s="509"/>
      <c r="H33" s="773"/>
      <c r="I33" s="769"/>
      <c r="J33" s="769"/>
      <c r="K33" s="770"/>
      <c r="L33" s="510"/>
      <c r="M33" s="376"/>
      <c r="AI33" s="395">
        <v>6</v>
      </c>
      <c r="AJ33" s="396" t="s">
        <v>269</v>
      </c>
      <c r="AK33" s="397">
        <v>300000</v>
      </c>
      <c r="AL33" s="410">
        <v>49020</v>
      </c>
      <c r="AM33" s="411"/>
      <c r="AN33" s="411">
        <f t="shared" si="2"/>
        <v>16.34</v>
      </c>
    </row>
    <row r="34" spans="1:40" ht="24" customHeight="1">
      <c r="A34" s="379" t="s">
        <v>160</v>
      </c>
      <c r="B34" s="302">
        <v>5.45</v>
      </c>
      <c r="C34" s="405">
        <v>0.5</v>
      </c>
      <c r="D34" s="405">
        <v>0.75</v>
      </c>
      <c r="E34" s="405">
        <v>1</v>
      </c>
      <c r="F34" s="405">
        <v>1</v>
      </c>
      <c r="G34" s="405">
        <v>1</v>
      </c>
      <c r="H34" s="738" t="s">
        <v>309</v>
      </c>
      <c r="I34" s="739"/>
      <c r="J34" s="739"/>
      <c r="K34" s="740"/>
      <c r="L34" s="303">
        <v>5</v>
      </c>
      <c r="M34" s="380">
        <f>IF(L34=0,"-",ROUND(L34*B34/B$71,4))</f>
        <v>0.32579999999999998</v>
      </c>
      <c r="AI34" s="395">
        <v>9</v>
      </c>
      <c r="AJ34" s="396" t="s">
        <v>271</v>
      </c>
      <c r="AK34" s="397">
        <v>300000</v>
      </c>
      <c r="AL34" s="410">
        <v>0</v>
      </c>
      <c r="AM34" s="411"/>
      <c r="AN34" s="411">
        <f t="shared" si="2"/>
        <v>0</v>
      </c>
    </row>
    <row r="35" spans="1:40" ht="24" customHeight="1">
      <c r="A35" s="381" t="s">
        <v>161</v>
      </c>
      <c r="B35" s="515"/>
      <c r="C35" s="516"/>
      <c r="D35" s="516"/>
      <c r="E35" s="516"/>
      <c r="F35" s="516" t="s">
        <v>70</v>
      </c>
      <c r="G35" s="516" t="s">
        <v>70</v>
      </c>
      <c r="H35" s="763" t="s">
        <v>213</v>
      </c>
      <c r="I35" s="763"/>
      <c r="J35" s="763"/>
      <c r="K35" s="764"/>
      <c r="L35" s="384"/>
      <c r="M35" s="385"/>
      <c r="AI35" s="395">
        <v>11</v>
      </c>
      <c r="AJ35" s="396" t="s">
        <v>273</v>
      </c>
      <c r="AK35" s="397">
        <v>500000</v>
      </c>
      <c r="AL35" s="410">
        <v>62536.11</v>
      </c>
      <c r="AM35" s="411"/>
      <c r="AN35" s="411">
        <f t="shared" si="2"/>
        <v>12.507222000000001</v>
      </c>
    </row>
    <row r="36" spans="1:40" ht="24" customHeight="1">
      <c r="A36" s="381" t="s">
        <v>310</v>
      </c>
      <c r="B36" s="515"/>
      <c r="C36" s="516"/>
      <c r="D36" s="516"/>
      <c r="E36" s="516"/>
      <c r="F36" s="516" t="s">
        <v>138</v>
      </c>
      <c r="G36" s="516" t="s">
        <v>139</v>
      </c>
      <c r="H36" s="577" t="s">
        <v>200</v>
      </c>
      <c r="I36" s="400" t="s">
        <v>56</v>
      </c>
      <c r="J36" s="472">
        <v>100</v>
      </c>
      <c r="K36" s="570" t="s">
        <v>362</v>
      </c>
      <c r="L36" s="384"/>
      <c r="M36" s="385"/>
      <c r="AI36" s="395"/>
      <c r="AJ36" s="396" t="s">
        <v>275</v>
      </c>
      <c r="AK36" s="397">
        <v>300000</v>
      </c>
      <c r="AL36" s="410">
        <v>57903.85</v>
      </c>
      <c r="AM36" s="411"/>
      <c r="AN36" s="411">
        <f t="shared" si="2"/>
        <v>19.301283333333334</v>
      </c>
    </row>
    <row r="37" spans="1:40" ht="24" customHeight="1">
      <c r="A37" s="507"/>
      <c r="B37" s="508"/>
      <c r="C37" s="509"/>
      <c r="D37" s="509"/>
      <c r="E37" s="509"/>
      <c r="F37" s="509"/>
      <c r="G37" s="509"/>
      <c r="H37" s="773"/>
      <c r="I37" s="774"/>
      <c r="J37" s="774"/>
      <c r="K37" s="775"/>
      <c r="L37" s="510"/>
      <c r="M37" s="376"/>
      <c r="AI37" s="395"/>
      <c r="AJ37" s="396" t="s">
        <v>276</v>
      </c>
      <c r="AK37" s="397">
        <v>300000</v>
      </c>
      <c r="AL37" s="410">
        <v>94848.7</v>
      </c>
      <c r="AM37" s="411"/>
      <c r="AN37" s="411">
        <f t="shared" si="2"/>
        <v>31.616233333333334</v>
      </c>
    </row>
    <row r="38" spans="1:40" ht="24" customHeight="1">
      <c r="A38" s="379" t="s">
        <v>149</v>
      </c>
      <c r="B38" s="302">
        <v>16.36</v>
      </c>
      <c r="C38" s="405">
        <v>0.75</v>
      </c>
      <c r="D38" s="405">
        <v>0.78</v>
      </c>
      <c r="E38" s="405">
        <v>0.81</v>
      </c>
      <c r="F38" s="405">
        <v>0.84</v>
      </c>
      <c r="G38" s="405">
        <v>0.87</v>
      </c>
      <c r="H38" s="738" t="s">
        <v>303</v>
      </c>
      <c r="I38" s="739"/>
      <c r="J38" s="739"/>
      <c r="K38" s="740"/>
      <c r="L38" s="303">
        <v>5</v>
      </c>
      <c r="M38" s="380">
        <f>IF(L38=0,"-",ROUND(L38*B38/B$71,4))</f>
        <v>0.97799999999999998</v>
      </c>
      <c r="AI38" s="395">
        <v>13</v>
      </c>
      <c r="AJ38" s="396" t="s">
        <v>281</v>
      </c>
      <c r="AK38" s="397">
        <v>300000</v>
      </c>
      <c r="AL38" s="410">
        <v>205897.2</v>
      </c>
      <c r="AM38" s="411"/>
      <c r="AN38" s="411">
        <f t="shared" si="2"/>
        <v>68.632400000000004</v>
      </c>
    </row>
    <row r="39" spans="1:40" ht="24" customHeight="1">
      <c r="A39" s="381" t="s">
        <v>137</v>
      </c>
      <c r="B39" s="382"/>
      <c r="C39" s="383"/>
      <c r="D39" s="383"/>
      <c r="E39" s="383"/>
      <c r="F39" s="383"/>
      <c r="G39" s="383"/>
      <c r="H39" s="762" t="s">
        <v>272</v>
      </c>
      <c r="I39" s="763"/>
      <c r="J39" s="763"/>
      <c r="K39" s="764"/>
      <c r="L39" s="384"/>
      <c r="M39" s="385"/>
      <c r="AI39" s="395"/>
      <c r="AJ39" s="396" t="s">
        <v>282</v>
      </c>
      <c r="AK39" s="397">
        <v>300000</v>
      </c>
      <c r="AL39" s="410">
        <v>100339.9</v>
      </c>
      <c r="AM39" s="411"/>
      <c r="AN39" s="411">
        <f t="shared" si="2"/>
        <v>33.446633333333331</v>
      </c>
    </row>
    <row r="40" spans="1:40" ht="24" customHeight="1">
      <c r="A40" s="381"/>
      <c r="B40" s="382"/>
      <c r="C40" s="383"/>
      <c r="D40" s="383"/>
      <c r="E40" s="383"/>
      <c r="F40" s="383"/>
      <c r="G40" s="383"/>
      <c r="H40" s="589"/>
      <c r="I40" s="589" t="s">
        <v>87</v>
      </c>
      <c r="J40" s="590">
        <v>246230200</v>
      </c>
      <c r="K40" s="573" t="s">
        <v>163</v>
      </c>
      <c r="L40" s="384"/>
      <c r="M40" s="385"/>
      <c r="AI40" s="395"/>
      <c r="AJ40" s="396" t="s">
        <v>283</v>
      </c>
      <c r="AK40" s="397">
        <v>300000</v>
      </c>
      <c r="AL40" s="410">
        <v>57000</v>
      </c>
      <c r="AM40" s="411"/>
      <c r="AN40" s="411">
        <f t="shared" si="2"/>
        <v>19</v>
      </c>
    </row>
    <row r="41" spans="1:40" ht="24" customHeight="1">
      <c r="A41" s="381"/>
      <c r="B41" s="382"/>
      <c r="C41" s="383"/>
      <c r="D41" s="383"/>
      <c r="E41" s="383"/>
      <c r="F41" s="383"/>
      <c r="G41" s="383"/>
      <c r="H41" s="589"/>
      <c r="I41" s="400" t="s">
        <v>195</v>
      </c>
      <c r="J41" s="591">
        <v>1018408430</v>
      </c>
      <c r="K41" s="573" t="s">
        <v>163</v>
      </c>
      <c r="L41" s="384"/>
      <c r="M41" s="385"/>
      <c r="AI41" s="395"/>
      <c r="AJ41" s="396" t="s">
        <v>284</v>
      </c>
      <c r="AK41" s="397">
        <v>300000</v>
      </c>
      <c r="AL41" s="410">
        <v>54914.85</v>
      </c>
      <c r="AM41" s="411"/>
      <c r="AN41" s="411">
        <f t="shared" si="2"/>
        <v>18.304950000000002</v>
      </c>
    </row>
    <row r="42" spans="1:40" ht="24" customHeight="1">
      <c r="A42" s="381"/>
      <c r="B42" s="382"/>
      <c r="C42" s="383"/>
      <c r="D42" s="383"/>
      <c r="E42" s="383"/>
      <c r="F42" s="383"/>
      <c r="G42" s="383"/>
      <c r="H42" s="589"/>
      <c r="I42" s="400" t="s">
        <v>196</v>
      </c>
      <c r="J42" s="472">
        <v>100.2</v>
      </c>
      <c r="K42" s="573" t="s">
        <v>51</v>
      </c>
      <c r="L42" s="384"/>
      <c r="M42" s="385"/>
      <c r="AI42" s="395"/>
      <c r="AJ42" s="396" t="s">
        <v>285</v>
      </c>
      <c r="AK42" s="397">
        <v>300000</v>
      </c>
      <c r="AL42" s="410">
        <v>66279.649999999994</v>
      </c>
      <c r="AM42" s="411"/>
      <c r="AN42" s="411">
        <f t="shared" si="2"/>
        <v>22.093216666666663</v>
      </c>
    </row>
    <row r="43" spans="1:40" ht="24" customHeight="1">
      <c r="A43" s="507"/>
      <c r="B43" s="508"/>
      <c r="C43" s="509"/>
      <c r="D43" s="509"/>
      <c r="E43" s="509"/>
      <c r="F43" s="509"/>
      <c r="G43" s="509"/>
      <c r="H43" s="592"/>
      <c r="I43" s="587"/>
      <c r="J43" s="593"/>
      <c r="K43" s="588"/>
      <c r="L43" s="510"/>
      <c r="M43" s="376"/>
      <c r="AI43" s="395"/>
      <c r="AJ43" s="396" t="s">
        <v>286</v>
      </c>
      <c r="AK43" s="397">
        <v>500000</v>
      </c>
      <c r="AL43" s="410">
        <v>147338.20000000001</v>
      </c>
      <c r="AM43" s="411"/>
      <c r="AN43" s="411">
        <f t="shared" si="2"/>
        <v>29.467640000000003</v>
      </c>
    </row>
    <row r="44" spans="1:40" ht="24" customHeight="1">
      <c r="A44" s="379" t="s">
        <v>150</v>
      </c>
      <c r="B44" s="302">
        <v>1.87</v>
      </c>
      <c r="C44" s="405">
        <v>0.6</v>
      </c>
      <c r="D44" s="405">
        <v>0.65</v>
      </c>
      <c r="E44" s="405">
        <v>0.7</v>
      </c>
      <c r="F44" s="405">
        <v>0.75</v>
      </c>
      <c r="G44" s="405">
        <v>0.8</v>
      </c>
      <c r="H44" s="738" t="s">
        <v>222</v>
      </c>
      <c r="I44" s="739"/>
      <c r="J44" s="739"/>
      <c r="K44" s="740"/>
      <c r="L44" s="303">
        <v>5</v>
      </c>
      <c r="M44" s="380">
        <f>IF(L44=0,"-",ROUND(L44*B44/B$71,4))</f>
        <v>0.1118</v>
      </c>
      <c r="AI44" s="395"/>
      <c r="AJ44" s="396" t="s">
        <v>277</v>
      </c>
      <c r="AK44" s="397">
        <v>500000</v>
      </c>
      <c r="AL44" s="410">
        <v>150000</v>
      </c>
      <c r="AM44" s="411"/>
      <c r="AN44" s="411">
        <f t="shared" si="2"/>
        <v>30</v>
      </c>
    </row>
    <row r="45" spans="1:40" ht="24" customHeight="1">
      <c r="A45" s="381" t="s">
        <v>151</v>
      </c>
      <c r="B45" s="515"/>
      <c r="C45" s="594"/>
      <c r="D45" s="594"/>
      <c r="E45" s="594"/>
      <c r="F45" s="594"/>
      <c r="G45" s="594"/>
      <c r="H45" s="762" t="s">
        <v>223</v>
      </c>
      <c r="I45" s="763"/>
      <c r="J45" s="763"/>
      <c r="K45" s="764"/>
      <c r="L45" s="384"/>
      <c r="M45" s="385"/>
      <c r="AI45" s="395"/>
      <c r="AJ45" s="396"/>
      <c r="AK45" s="397" t="e">
        <f>AK30+AK31+AK32+#REF!+AK33+AK34+AK35+AK36+#REF!+AK37+AK38+AK39+AK40+AK41+AK42+AK43+AK44</f>
        <v>#REF!</v>
      </c>
      <c r="AL45" s="410" t="e">
        <f>AL30+AL31+AL32+#REF!+AL33+AL34+AL35+AL36+#REF!+AL37+AL38+AL39+AL40+AL41+AL42+AL43+AL44</f>
        <v>#REF!</v>
      </c>
      <c r="AM45" s="411"/>
      <c r="AN45" s="411" t="e">
        <f>AL45*100/AK45</f>
        <v>#REF!</v>
      </c>
    </row>
    <row r="46" spans="1:40" ht="24" customHeight="1">
      <c r="A46" s="381" t="s">
        <v>91</v>
      </c>
      <c r="B46" s="382"/>
      <c r="C46" s="383"/>
      <c r="D46" s="383"/>
      <c r="E46" s="383"/>
      <c r="F46" s="383"/>
      <c r="G46" s="383"/>
      <c r="H46" s="762" t="s">
        <v>224</v>
      </c>
      <c r="I46" s="763"/>
      <c r="J46" s="763"/>
      <c r="K46" s="764"/>
      <c r="L46" s="384"/>
      <c r="M46" s="385"/>
    </row>
    <row r="47" spans="1:40" ht="24" customHeight="1">
      <c r="A47" s="381"/>
      <c r="B47" s="382"/>
      <c r="C47" s="383"/>
      <c r="D47" s="383"/>
      <c r="E47" s="383"/>
      <c r="F47" s="383"/>
      <c r="G47" s="383"/>
      <c r="H47" s="577"/>
      <c r="I47" s="400" t="s">
        <v>97</v>
      </c>
      <c r="J47" s="591">
        <v>271</v>
      </c>
      <c r="K47" s="578" t="s">
        <v>96</v>
      </c>
      <c r="L47" s="384"/>
      <c r="M47" s="385"/>
    </row>
    <row r="48" spans="1:40" ht="24" customHeight="1">
      <c r="A48" s="381"/>
      <c r="B48" s="382"/>
      <c r="C48" s="383"/>
      <c r="D48" s="383"/>
      <c r="E48" s="383"/>
      <c r="F48" s="383"/>
      <c r="G48" s="383"/>
      <c r="H48" s="577"/>
      <c r="I48" s="400" t="s">
        <v>98</v>
      </c>
      <c r="J48" s="591">
        <v>271</v>
      </c>
      <c r="K48" s="578" t="s">
        <v>96</v>
      </c>
      <c r="L48" s="384"/>
      <c r="M48" s="385"/>
    </row>
    <row r="49" spans="1:34" ht="24" customHeight="1">
      <c r="A49" s="381"/>
      <c r="B49" s="382"/>
      <c r="C49" s="383"/>
      <c r="D49" s="383"/>
      <c r="E49" s="383"/>
      <c r="F49" s="383"/>
      <c r="G49" s="383"/>
      <c r="H49" s="571"/>
      <c r="I49" s="400" t="s">
        <v>35</v>
      </c>
      <c r="J49" s="486">
        <f>ROUND(J48*100/J47,2)</f>
        <v>100</v>
      </c>
      <c r="K49" s="573" t="s">
        <v>51</v>
      </c>
      <c r="L49" s="384"/>
      <c r="M49" s="385"/>
    </row>
    <row r="50" spans="1:34" ht="24" customHeight="1">
      <c r="A50" s="507"/>
      <c r="B50" s="508"/>
      <c r="C50" s="509"/>
      <c r="D50" s="509"/>
      <c r="E50" s="509"/>
      <c r="F50" s="509"/>
      <c r="G50" s="509"/>
      <c r="H50" s="595"/>
      <c r="I50" s="596"/>
      <c r="J50" s="596"/>
      <c r="K50" s="574"/>
      <c r="L50" s="510"/>
      <c r="M50" s="376"/>
    </row>
    <row r="51" spans="1:34" ht="24" customHeight="1">
      <c r="A51" s="597" t="s">
        <v>152</v>
      </c>
      <c r="B51" s="490">
        <v>5.45</v>
      </c>
      <c r="C51" s="598">
        <v>0.65</v>
      </c>
      <c r="D51" s="598">
        <v>0.7</v>
      </c>
      <c r="E51" s="598">
        <v>0.75</v>
      </c>
      <c r="F51" s="598">
        <v>0.8</v>
      </c>
      <c r="G51" s="598">
        <v>0.85</v>
      </c>
      <c r="H51" s="738" t="s">
        <v>225</v>
      </c>
      <c r="I51" s="739"/>
      <c r="J51" s="739"/>
      <c r="K51" s="740"/>
      <c r="L51" s="303">
        <v>4.7939999999999996</v>
      </c>
      <c r="M51" s="380">
        <f>IF(L51=0,"-",ROUND(L51*B51/B$71,4))</f>
        <v>0.31240000000000001</v>
      </c>
    </row>
    <row r="52" spans="1:34" ht="24" customHeight="1">
      <c r="A52" s="381" t="s">
        <v>153</v>
      </c>
      <c r="B52" s="382"/>
      <c r="C52" s="383"/>
      <c r="D52" s="383"/>
      <c r="E52" s="383"/>
      <c r="F52" s="383"/>
      <c r="G52" s="383"/>
      <c r="H52" s="762" t="s">
        <v>226</v>
      </c>
      <c r="I52" s="763"/>
      <c r="J52" s="763"/>
      <c r="K52" s="764"/>
      <c r="L52" s="384"/>
      <c r="M52" s="385"/>
    </row>
    <row r="53" spans="1:34" ht="24" customHeight="1">
      <c r="A53" s="599" t="s">
        <v>162</v>
      </c>
      <c r="B53" s="382"/>
      <c r="C53" s="383"/>
      <c r="D53" s="383"/>
      <c r="E53" s="383"/>
      <c r="F53" s="383"/>
      <c r="G53" s="383"/>
      <c r="H53" s="577" t="s">
        <v>200</v>
      </c>
      <c r="I53" s="600" t="s">
        <v>113</v>
      </c>
      <c r="J53" s="486">
        <v>83.97</v>
      </c>
      <c r="K53" s="573" t="s">
        <v>51</v>
      </c>
      <c r="L53" s="384"/>
      <c r="M53" s="385"/>
    </row>
    <row r="54" spans="1:34" ht="24" customHeight="1">
      <c r="A54" s="381"/>
      <c r="B54" s="382"/>
      <c r="C54" s="383"/>
      <c r="D54" s="383"/>
      <c r="E54" s="383"/>
      <c r="F54" s="383"/>
      <c r="G54" s="517"/>
      <c r="H54" s="601"/>
      <c r="I54" s="601"/>
      <c r="J54" s="601"/>
      <c r="K54" s="601"/>
      <c r="L54" s="384"/>
      <c r="M54" s="385"/>
    </row>
    <row r="55" spans="1:34" ht="24" customHeight="1">
      <c r="A55" s="379" t="s">
        <v>154</v>
      </c>
      <c r="B55" s="490">
        <v>5.45</v>
      </c>
      <c r="C55" s="496" t="s">
        <v>29</v>
      </c>
      <c r="D55" s="496" t="s">
        <v>30</v>
      </c>
      <c r="E55" s="496" t="s">
        <v>31</v>
      </c>
      <c r="F55" s="496" t="s">
        <v>32</v>
      </c>
      <c r="G55" s="496" t="s">
        <v>33</v>
      </c>
      <c r="H55" s="738" t="s">
        <v>227</v>
      </c>
      <c r="I55" s="739"/>
      <c r="J55" s="739"/>
      <c r="K55" s="740"/>
      <c r="L55" s="303">
        <v>1</v>
      </c>
      <c r="M55" s="380">
        <f>IF(L55=0,"-",ROUND(L55*B55/B$71,4))</f>
        <v>6.5199999999999994E-2</v>
      </c>
    </row>
    <row r="56" spans="1:34" ht="24" customHeight="1">
      <c r="A56" s="381" t="s">
        <v>107</v>
      </c>
      <c r="B56" s="382"/>
      <c r="C56" s="497">
        <v>1.5</v>
      </c>
      <c r="D56" s="497">
        <v>2</v>
      </c>
      <c r="E56" s="497">
        <v>2.5</v>
      </c>
      <c r="F56" s="497">
        <v>3</v>
      </c>
      <c r="G56" s="497">
        <v>5</v>
      </c>
      <c r="H56" s="762" t="s">
        <v>228</v>
      </c>
      <c r="I56" s="763"/>
      <c r="J56" s="763"/>
      <c r="K56" s="764"/>
      <c r="L56" s="384"/>
      <c r="M56" s="385"/>
    </row>
    <row r="57" spans="1:34" ht="24" customHeight="1">
      <c r="A57" s="381" t="s">
        <v>310</v>
      </c>
      <c r="B57" s="382"/>
      <c r="C57" s="517"/>
      <c r="D57" s="517"/>
      <c r="E57" s="517"/>
      <c r="F57" s="517"/>
      <c r="G57" s="517"/>
      <c r="H57" s="762" t="s">
        <v>213</v>
      </c>
      <c r="I57" s="763"/>
      <c r="J57" s="763"/>
      <c r="K57" s="764"/>
      <c r="L57" s="384"/>
      <c r="M57" s="385"/>
    </row>
    <row r="58" spans="1:34" ht="24" customHeight="1">
      <c r="A58" s="381"/>
      <c r="B58" s="382"/>
      <c r="C58" s="517"/>
      <c r="D58" s="517"/>
      <c r="E58" s="517"/>
      <c r="F58" s="517"/>
      <c r="G58" s="517"/>
      <c r="H58" s="571"/>
      <c r="I58" s="400" t="s">
        <v>112</v>
      </c>
      <c r="J58" s="472" t="s">
        <v>11</v>
      </c>
      <c r="K58" s="578"/>
      <c r="L58" s="384"/>
      <c r="M58" s="385"/>
    </row>
    <row r="59" spans="1:34" ht="24" customHeight="1">
      <c r="A59" s="507"/>
      <c r="B59" s="508"/>
      <c r="C59" s="509"/>
      <c r="D59" s="509"/>
      <c r="E59" s="509"/>
      <c r="F59" s="509"/>
      <c r="G59" s="509"/>
      <c r="H59" s="511"/>
      <c r="I59" s="587"/>
      <c r="J59" s="587"/>
      <c r="K59" s="588"/>
      <c r="L59" s="510"/>
      <c r="M59" s="376"/>
    </row>
    <row r="60" spans="1:34" ht="24" customHeight="1">
      <c r="A60" s="602" t="s">
        <v>155</v>
      </c>
      <c r="B60" s="490">
        <v>5.45</v>
      </c>
      <c r="C60" s="598">
        <v>0.1</v>
      </c>
      <c r="D60" s="598">
        <v>0.3</v>
      </c>
      <c r="E60" s="598">
        <v>0.5</v>
      </c>
      <c r="F60" s="598">
        <v>0.7</v>
      </c>
      <c r="G60" s="598">
        <v>1</v>
      </c>
      <c r="H60" s="738" t="s">
        <v>364</v>
      </c>
      <c r="I60" s="739"/>
      <c r="J60" s="739"/>
      <c r="K60" s="740"/>
      <c r="L60" s="303">
        <f>ROUND(4+((J63-70)*1/30),4)</f>
        <v>4.3666999999999998</v>
      </c>
      <c r="M60" s="380">
        <f>IF(L60=0,"-",ROUND(L60*B60/B$71,4))</f>
        <v>0.28449999999999998</v>
      </c>
      <c r="Q60" s="368" t="s">
        <v>164</v>
      </c>
      <c r="R60" s="368" t="s">
        <v>165</v>
      </c>
      <c r="S60" s="368" t="s">
        <v>166</v>
      </c>
      <c r="T60" s="368" t="s">
        <v>180</v>
      </c>
      <c r="U60" s="368" t="s">
        <v>181</v>
      </c>
      <c r="V60" s="368" t="s">
        <v>278</v>
      </c>
      <c r="W60" s="368" t="s">
        <v>183</v>
      </c>
      <c r="X60" s="368" t="s">
        <v>184</v>
      </c>
      <c r="Y60" s="368" t="s">
        <v>185</v>
      </c>
      <c r="Z60" s="368" t="s">
        <v>186</v>
      </c>
      <c r="AA60" s="368" t="s">
        <v>187</v>
      </c>
      <c r="AB60" s="368" t="s">
        <v>188</v>
      </c>
      <c r="AC60" s="368" t="s">
        <v>189</v>
      </c>
      <c r="AD60" s="368" t="s">
        <v>190</v>
      </c>
      <c r="AE60" s="368" t="s">
        <v>191</v>
      </c>
      <c r="AF60" s="368" t="s">
        <v>192</v>
      </c>
      <c r="AG60" s="368" t="s">
        <v>193</v>
      </c>
      <c r="AH60" s="368" t="s">
        <v>20</v>
      </c>
    </row>
    <row r="61" spans="1:34" ht="24" customHeight="1">
      <c r="A61" s="603" t="s">
        <v>197</v>
      </c>
      <c r="B61" s="604"/>
      <c r="C61" s="383"/>
      <c r="D61" s="383"/>
      <c r="E61" s="383"/>
      <c r="F61" s="383"/>
      <c r="G61" s="406"/>
      <c r="H61" s="571" t="s">
        <v>317</v>
      </c>
      <c r="I61" s="501"/>
      <c r="J61" s="581"/>
      <c r="K61" s="582"/>
      <c r="L61" s="518"/>
      <c r="M61" s="385"/>
      <c r="Q61" s="368">
        <v>82</v>
      </c>
      <c r="R61" s="368">
        <v>100</v>
      </c>
      <c r="S61" s="368">
        <v>0</v>
      </c>
      <c r="T61" s="368">
        <v>82</v>
      </c>
      <c r="U61" s="368">
        <v>72</v>
      </c>
      <c r="V61" s="368">
        <v>81</v>
      </c>
      <c r="W61" s="368">
        <v>95</v>
      </c>
      <c r="X61" s="368">
        <v>72</v>
      </c>
      <c r="Y61" s="368">
        <v>80</v>
      </c>
      <c r="Z61" s="368">
        <v>76</v>
      </c>
      <c r="AA61" s="368">
        <v>76</v>
      </c>
      <c r="AB61" s="368">
        <v>86</v>
      </c>
      <c r="AC61" s="368">
        <v>76</v>
      </c>
      <c r="AD61" s="368">
        <v>70</v>
      </c>
      <c r="AE61" s="368">
        <v>100</v>
      </c>
      <c r="AF61" s="368">
        <v>72</v>
      </c>
      <c r="AG61" s="368">
        <v>95</v>
      </c>
      <c r="AH61" s="404">
        <f>(Q61+R61+S61+T61+U61+V61+W61+X61+Y61+Z61+AA61+AB61+AC61+AD61+AE61+AF61+AG61)/17</f>
        <v>77.352941176470594</v>
      </c>
    </row>
    <row r="62" spans="1:34" ht="24" customHeight="1">
      <c r="A62" s="381" t="s">
        <v>310</v>
      </c>
      <c r="B62" s="604"/>
      <c r="C62" s="383"/>
      <c r="D62" s="383"/>
      <c r="E62" s="383"/>
      <c r="F62" s="383"/>
      <c r="G62" s="383"/>
      <c r="H62" s="572" t="s">
        <v>231</v>
      </c>
      <c r="I62" s="501"/>
      <c r="J62" s="581"/>
      <c r="K62" s="582"/>
      <c r="L62" s="518"/>
      <c r="M62" s="385"/>
    </row>
    <row r="63" spans="1:34" ht="24" customHeight="1">
      <c r="A63" s="603"/>
      <c r="B63" s="604"/>
      <c r="C63" s="383"/>
      <c r="D63" s="383"/>
      <c r="E63" s="383"/>
      <c r="F63" s="383"/>
      <c r="G63" s="383"/>
      <c r="H63" s="571"/>
      <c r="I63" s="400" t="s">
        <v>114</v>
      </c>
      <c r="J63" s="545">
        <v>81</v>
      </c>
      <c r="K63" s="573" t="s">
        <v>51</v>
      </c>
      <c r="L63" s="518"/>
      <c r="M63" s="385"/>
      <c r="P63" s="305"/>
    </row>
    <row r="64" spans="1:34" ht="24" customHeight="1">
      <c r="A64" s="605"/>
      <c r="B64" s="606"/>
      <c r="C64" s="509"/>
      <c r="D64" s="509"/>
      <c r="E64" s="509"/>
      <c r="F64" s="509"/>
      <c r="G64" s="509"/>
      <c r="H64" s="512"/>
      <c r="I64" s="587"/>
      <c r="J64" s="587"/>
      <c r="K64" s="588"/>
      <c r="L64" s="607"/>
      <c r="M64" s="376"/>
    </row>
    <row r="65" spans="1:32" ht="24" customHeight="1">
      <c r="A65" s="379" t="s">
        <v>156</v>
      </c>
      <c r="B65" s="490">
        <v>5.45</v>
      </c>
      <c r="C65" s="498">
        <v>0.8</v>
      </c>
      <c r="D65" s="498">
        <v>0.85</v>
      </c>
      <c r="E65" s="498">
        <v>0.9</v>
      </c>
      <c r="F65" s="498">
        <v>0.95</v>
      </c>
      <c r="G65" s="498">
        <v>1</v>
      </c>
      <c r="H65" s="738" t="s">
        <v>304</v>
      </c>
      <c r="I65" s="739"/>
      <c r="J65" s="739"/>
      <c r="K65" s="740"/>
      <c r="L65" s="303">
        <f>ROUND(4+((J69-95)*1/5),4)</f>
        <v>4.8680000000000003</v>
      </c>
      <c r="M65" s="380">
        <f>IF(L65=0,"-",ROUND(L65*B65/B$71,4))</f>
        <v>0.31719999999999998</v>
      </c>
      <c r="R65" s="413"/>
    </row>
    <row r="66" spans="1:32" ht="24" customHeight="1">
      <c r="A66" s="381" t="s">
        <v>116</v>
      </c>
      <c r="B66" s="382"/>
      <c r="C66" s="497"/>
      <c r="D66" s="497"/>
      <c r="E66" s="497"/>
      <c r="F66" s="497"/>
      <c r="G66" s="497"/>
      <c r="H66" s="762" t="s">
        <v>305</v>
      </c>
      <c r="I66" s="763"/>
      <c r="J66" s="763"/>
      <c r="K66" s="764"/>
      <c r="L66" s="384"/>
      <c r="M66" s="385"/>
    </row>
    <row r="67" spans="1:32" ht="24" customHeight="1">
      <c r="A67" s="381" t="s">
        <v>310</v>
      </c>
      <c r="B67" s="382"/>
      <c r="C67" s="383"/>
      <c r="D67" s="383"/>
      <c r="E67" s="383"/>
      <c r="F67" s="383"/>
      <c r="G67" s="383"/>
      <c r="H67" s="762" t="s">
        <v>306</v>
      </c>
      <c r="I67" s="763"/>
      <c r="J67" s="763"/>
      <c r="K67" s="764"/>
      <c r="L67" s="384"/>
      <c r="M67" s="385"/>
      <c r="O67" s="375"/>
      <c r="P67" s="375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5"/>
      <c r="AB67" s="375"/>
      <c r="AC67" s="375"/>
      <c r="AD67" s="375"/>
      <c r="AE67" s="375"/>
      <c r="AF67" s="375"/>
    </row>
    <row r="68" spans="1:32" ht="24" customHeight="1">
      <c r="A68" s="381"/>
      <c r="B68" s="382"/>
      <c r="C68" s="383"/>
      <c r="D68" s="383"/>
      <c r="E68" s="383"/>
      <c r="F68" s="383"/>
      <c r="G68" s="383"/>
      <c r="H68" s="571" t="s">
        <v>307</v>
      </c>
      <c r="I68" s="572"/>
      <c r="J68" s="572"/>
      <c r="K68" s="573"/>
      <c r="L68" s="384"/>
      <c r="M68" s="385"/>
      <c r="O68" s="414"/>
      <c r="P68" s="414"/>
      <c r="Q68" s="414"/>
      <c r="R68" s="414"/>
      <c r="S68" s="414"/>
      <c r="T68" s="414"/>
      <c r="U68" s="414"/>
      <c r="V68" s="414"/>
      <c r="W68" s="414"/>
      <c r="X68" s="414"/>
      <c r="Y68" s="414"/>
      <c r="Z68" s="414"/>
      <c r="AA68" s="414"/>
      <c r="AB68" s="414"/>
      <c r="AC68" s="414"/>
      <c r="AD68" s="414"/>
      <c r="AE68" s="414"/>
      <c r="AF68" s="414"/>
    </row>
    <row r="69" spans="1:32" ht="24" customHeight="1">
      <c r="A69" s="381"/>
      <c r="B69" s="382"/>
      <c r="C69" s="383"/>
      <c r="D69" s="383"/>
      <c r="E69" s="383"/>
      <c r="F69" s="383"/>
      <c r="G69" s="383"/>
      <c r="H69" s="571"/>
      <c r="I69" s="400" t="s">
        <v>114</v>
      </c>
      <c r="J69" s="545">
        <v>99.34</v>
      </c>
      <c r="K69" s="578" t="s">
        <v>51</v>
      </c>
      <c r="L69" s="384"/>
      <c r="M69" s="385"/>
      <c r="O69" s="414"/>
      <c r="P69" s="414"/>
      <c r="Q69" s="414"/>
      <c r="R69" s="414"/>
      <c r="S69" s="414"/>
      <c r="T69" s="414"/>
      <c r="U69" s="414"/>
      <c r="V69" s="414"/>
      <c r="W69" s="414"/>
      <c r="X69" s="414"/>
      <c r="Y69" s="414"/>
      <c r="Z69" s="414"/>
      <c r="AA69" s="414"/>
      <c r="AB69" s="414"/>
      <c r="AC69" s="414"/>
      <c r="AD69" s="414"/>
      <c r="AE69" s="414"/>
      <c r="AF69" s="414"/>
    </row>
    <row r="70" spans="1:32" ht="24" customHeight="1">
      <c r="A70" s="381"/>
      <c r="B70" s="608"/>
      <c r="C70" s="383"/>
      <c r="D70" s="383"/>
      <c r="E70" s="383"/>
      <c r="F70" s="383"/>
      <c r="G70" s="517"/>
      <c r="H70" s="571"/>
      <c r="I70" s="601"/>
      <c r="J70" s="600"/>
      <c r="K70" s="578"/>
      <c r="L70" s="384"/>
      <c r="M70" s="385"/>
      <c r="O70" s="414"/>
      <c r="P70" s="414"/>
      <c r="Q70" s="414"/>
      <c r="R70" s="414"/>
      <c r="S70" s="414"/>
      <c r="T70" s="414"/>
      <c r="U70" s="414"/>
      <c r="V70" s="414"/>
      <c r="W70" s="414"/>
      <c r="X70" s="414"/>
      <c r="Y70" s="414"/>
      <c r="Z70" s="414"/>
      <c r="AA70" s="414"/>
      <c r="AB70" s="414"/>
      <c r="AC70" s="414"/>
      <c r="AD70" s="414"/>
      <c r="AE70" s="414"/>
      <c r="AF70" s="414"/>
    </row>
    <row r="71" spans="1:32" ht="24" customHeight="1">
      <c r="A71" s="415"/>
      <c r="B71" s="416">
        <f>SUM(B6:B70)</f>
        <v>83.640000000000015</v>
      </c>
      <c r="C71" s="417"/>
      <c r="D71" s="417"/>
      <c r="E71" s="417"/>
      <c r="F71" s="417"/>
      <c r="G71" s="418"/>
      <c r="H71" s="417"/>
      <c r="I71" s="417"/>
      <c r="J71" s="417"/>
      <c r="K71" s="417"/>
      <c r="L71" s="419" t="s">
        <v>140</v>
      </c>
      <c r="M71" s="420">
        <f>SUM(M6:M70)</f>
        <v>4.591899999999999</v>
      </c>
      <c r="O71" s="414"/>
      <c r="P71" s="414"/>
      <c r="Q71" s="414"/>
      <c r="R71" s="414"/>
      <c r="S71" s="414"/>
      <c r="T71" s="414"/>
      <c r="U71" s="414"/>
      <c r="V71" s="414"/>
      <c r="W71" s="414"/>
      <c r="X71" s="414"/>
      <c r="Y71" s="414"/>
      <c r="Z71" s="414"/>
      <c r="AA71" s="414"/>
      <c r="AB71" s="414"/>
      <c r="AC71" s="414"/>
      <c r="AD71" s="414"/>
      <c r="AE71" s="414"/>
      <c r="AF71" s="414"/>
    </row>
    <row r="72" spans="1:32" ht="24" customHeight="1">
      <c r="O72" s="414"/>
      <c r="P72" s="414"/>
      <c r="Q72" s="414"/>
      <c r="R72" s="414"/>
      <c r="S72" s="414"/>
      <c r="T72" s="414"/>
      <c r="U72" s="414"/>
      <c r="V72" s="422"/>
      <c r="W72" s="414"/>
      <c r="X72" s="414"/>
      <c r="Y72" s="414"/>
      <c r="Z72" s="414"/>
      <c r="AA72" s="414"/>
      <c r="AB72" s="414"/>
      <c r="AC72" s="414"/>
      <c r="AD72" s="414"/>
      <c r="AE72" s="414"/>
      <c r="AF72" s="414"/>
    </row>
    <row r="73" spans="1:32" ht="24" customHeight="1">
      <c r="A73" s="423"/>
    </row>
    <row r="74" spans="1:32" ht="24" customHeight="1"/>
    <row r="75" spans="1:32" ht="24" customHeight="1"/>
    <row r="76" spans="1:32" ht="24" customHeight="1"/>
    <row r="77" spans="1:32" ht="24" customHeight="1"/>
    <row r="78" spans="1:32" ht="24" customHeight="1"/>
    <row r="79" spans="1:32" ht="24" customHeight="1"/>
    <row r="80" spans="1:32" ht="24" customHeight="1"/>
  </sheetData>
  <mergeCells count="41"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1:K11"/>
    <mergeCell ref="H12:K12"/>
    <mergeCell ref="H33:K33"/>
    <mergeCell ref="H14:K14"/>
    <mergeCell ref="H17:K17"/>
    <mergeCell ref="H18:K18"/>
    <mergeCell ref="H19:K19"/>
    <mergeCell ref="H22:K22"/>
    <mergeCell ref="H23:K23"/>
    <mergeCell ref="H24:K24"/>
    <mergeCell ref="AI26:AJ26"/>
    <mergeCell ref="H27:K27"/>
    <mergeCell ref="H28:K28"/>
    <mergeCell ref="H29:K29"/>
    <mergeCell ref="H56:K56"/>
    <mergeCell ref="H34:K34"/>
    <mergeCell ref="H35:K35"/>
    <mergeCell ref="H37:K37"/>
    <mergeCell ref="H38:K38"/>
    <mergeCell ref="H39:K39"/>
    <mergeCell ref="H44:K44"/>
    <mergeCell ref="H45:K45"/>
    <mergeCell ref="H46:K46"/>
    <mergeCell ref="H51:K51"/>
    <mergeCell ref="H52:K52"/>
    <mergeCell ref="H55:K55"/>
    <mergeCell ref="H57:K57"/>
    <mergeCell ref="H60:K60"/>
    <mergeCell ref="H65:K65"/>
    <mergeCell ref="H66:K66"/>
    <mergeCell ref="H67:K67"/>
  </mergeCells>
  <printOptions horizontalCentered="1"/>
  <pageMargins left="0.196850393700787" right="0.196850393700787" top="0.55118110236220497" bottom="0.27559055118110198" header="0.196850393700787" footer="0.47244094488188998"/>
  <pageSetup paperSize="9" scale="68" orientation="landscape" r:id="rId1"/>
  <headerFooter scaleWithDoc="0">
    <oddHeader>&amp;R&amp;"TH SarabunPSK,Regular"&amp;16&amp;P</oddHeader>
  </headerFooter>
  <rowBreaks count="2" manualBreakCount="2">
    <brk id="26" max="12" man="1"/>
    <brk id="50" max="12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N75"/>
  <sheetViews>
    <sheetView view="pageBreakPreview" zoomScaleNormal="90" zoomScaleSheetLayoutView="100" zoomScalePageLayoutView="50" workbookViewId="0">
      <selection activeCell="G60" sqref="G60"/>
    </sheetView>
  </sheetViews>
  <sheetFormatPr defaultColWidth="9.140625" defaultRowHeight="21"/>
  <cols>
    <col min="1" max="1" width="38" style="368" customWidth="1"/>
    <col min="2" max="2" width="11.5703125" style="368" customWidth="1"/>
    <col min="3" max="3" width="9.85546875" style="368" customWidth="1"/>
    <col min="4" max="7" width="9.28515625" style="368" customWidth="1"/>
    <col min="8" max="8" width="9.85546875" style="368" customWidth="1"/>
    <col min="9" max="9" width="16.140625" style="368" customWidth="1"/>
    <col min="10" max="10" width="16.5703125" style="368" customWidth="1"/>
    <col min="11" max="11" width="33.85546875" style="368" customWidth="1"/>
    <col min="12" max="12" width="11.140625" style="421" customWidth="1"/>
    <col min="13" max="13" width="14.42578125" style="368" customWidth="1"/>
    <col min="14" max="16" width="9.140625" style="368"/>
    <col min="17" max="17" width="12.42578125" style="368" bestFit="1" customWidth="1"/>
    <col min="18" max="20" width="11.5703125" style="368" bestFit="1" customWidth="1"/>
    <col min="21" max="21" width="9.140625" style="368"/>
    <col min="22" max="30" width="11.5703125" style="368" bestFit="1" customWidth="1"/>
    <col min="31" max="31" width="17.7109375" style="368" customWidth="1"/>
    <col min="32" max="32" width="9.28515625" style="368" bestFit="1" customWidth="1"/>
    <col min="33" max="33" width="11.28515625" style="368" bestFit="1" customWidth="1"/>
    <col min="34" max="35" width="9.140625" style="368"/>
    <col min="36" max="36" width="86.140625" style="368" bestFit="1" customWidth="1"/>
    <col min="37" max="37" width="19.28515625" style="368" bestFit="1" customWidth="1"/>
    <col min="38" max="38" width="15" style="368" bestFit="1" customWidth="1"/>
    <col min="39" max="39" width="10.42578125" style="368" bestFit="1" customWidth="1"/>
    <col min="40" max="16384" width="9.140625" style="368"/>
  </cols>
  <sheetData>
    <row r="1" spans="1:40" ht="24" customHeight="1">
      <c r="A1" s="752" t="s">
        <v>0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2" spans="1:40" ht="24" customHeight="1">
      <c r="A2" s="752" t="s">
        <v>344</v>
      </c>
      <c r="B2" s="753"/>
      <c r="C2" s="753"/>
      <c r="D2" s="753"/>
      <c r="E2" s="753"/>
      <c r="F2" s="753"/>
      <c r="G2" s="753"/>
      <c r="H2" s="753"/>
      <c r="I2" s="753"/>
      <c r="J2" s="753"/>
      <c r="K2" s="753"/>
      <c r="L2" s="753"/>
      <c r="M2" s="753"/>
    </row>
    <row r="3" spans="1:40" ht="24" customHeight="1">
      <c r="A3" s="369" t="s">
        <v>373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72" t="s">
        <v>237</v>
      </c>
    </row>
    <row r="4" spans="1:40" s="375" customFormat="1" ht="24" customHeight="1">
      <c r="A4" s="373" t="s">
        <v>1</v>
      </c>
      <c r="B4" s="373" t="s">
        <v>2</v>
      </c>
      <c r="C4" s="754" t="s">
        <v>3</v>
      </c>
      <c r="D4" s="754"/>
      <c r="E4" s="754"/>
      <c r="F4" s="754"/>
      <c r="G4" s="754"/>
      <c r="H4" s="755" t="s">
        <v>4</v>
      </c>
      <c r="I4" s="756"/>
      <c r="J4" s="756"/>
      <c r="K4" s="757"/>
      <c r="L4" s="761" t="s">
        <v>5</v>
      </c>
      <c r="M4" s="374" t="s">
        <v>6</v>
      </c>
    </row>
    <row r="5" spans="1:40" s="375" customFormat="1" ht="24" customHeight="1">
      <c r="A5" s="376" t="s">
        <v>7</v>
      </c>
      <c r="B5" s="376" t="s">
        <v>8</v>
      </c>
      <c r="C5" s="377">
        <v>1</v>
      </c>
      <c r="D5" s="377">
        <v>2</v>
      </c>
      <c r="E5" s="377">
        <v>3</v>
      </c>
      <c r="F5" s="377">
        <v>4</v>
      </c>
      <c r="G5" s="377">
        <v>5</v>
      </c>
      <c r="H5" s="758"/>
      <c r="I5" s="759"/>
      <c r="J5" s="759"/>
      <c r="K5" s="760"/>
      <c r="L5" s="761"/>
      <c r="M5" s="378" t="s">
        <v>9</v>
      </c>
    </row>
    <row r="6" spans="1:40" ht="24" customHeight="1">
      <c r="A6" s="379" t="s">
        <v>159</v>
      </c>
      <c r="B6" s="302">
        <v>5.45</v>
      </c>
      <c r="C6" s="506">
        <v>0.65</v>
      </c>
      <c r="D6" s="506">
        <v>0.7</v>
      </c>
      <c r="E6" s="506">
        <v>0.75</v>
      </c>
      <c r="F6" s="506">
        <v>0.8</v>
      </c>
      <c r="G6" s="506">
        <v>0.85</v>
      </c>
      <c r="H6" s="738" t="s">
        <v>203</v>
      </c>
      <c r="I6" s="739"/>
      <c r="J6" s="739"/>
      <c r="K6" s="740"/>
      <c r="L6" s="303">
        <v>4.8520000000000003</v>
      </c>
      <c r="M6" s="380">
        <f>IF(L6=0,"-",ROUND(L6*B6/B$71,4))</f>
        <v>0.31619999999999998</v>
      </c>
    </row>
    <row r="7" spans="1:40" ht="24" customHeight="1">
      <c r="A7" s="381" t="s">
        <v>144</v>
      </c>
      <c r="B7" s="382"/>
      <c r="C7" s="383"/>
      <c r="D7" s="383"/>
      <c r="E7" s="383"/>
      <c r="F7" s="383"/>
      <c r="G7" s="383"/>
      <c r="H7" s="762" t="s">
        <v>365</v>
      </c>
      <c r="I7" s="763"/>
      <c r="J7" s="763"/>
      <c r="K7" s="764"/>
      <c r="L7" s="384"/>
      <c r="M7" s="385"/>
      <c r="N7" s="375" t="s">
        <v>238</v>
      </c>
      <c r="O7" s="386" t="s">
        <v>164</v>
      </c>
      <c r="P7" s="375" t="s">
        <v>165</v>
      </c>
      <c r="Q7" s="375" t="s">
        <v>166</v>
      </c>
      <c r="R7" s="386" t="s">
        <v>167</v>
      </c>
      <c r="S7" s="386" t="s">
        <v>168</v>
      </c>
      <c r="T7" s="386" t="s">
        <v>169</v>
      </c>
      <c r="U7" s="386" t="s">
        <v>170</v>
      </c>
      <c r="V7" s="386" t="s">
        <v>171</v>
      </c>
      <c r="W7" s="375" t="s">
        <v>172</v>
      </c>
      <c r="X7" s="386" t="s">
        <v>173</v>
      </c>
      <c r="Y7" s="386" t="s">
        <v>174</v>
      </c>
      <c r="Z7" s="375" t="s">
        <v>175</v>
      </c>
      <c r="AA7" s="386" t="s">
        <v>176</v>
      </c>
      <c r="AB7" s="386" t="s">
        <v>178</v>
      </c>
      <c r="AC7" s="375" t="s">
        <v>192</v>
      </c>
      <c r="AD7" s="375" t="s">
        <v>239</v>
      </c>
      <c r="AE7" s="375" t="s">
        <v>240</v>
      </c>
    </row>
    <row r="8" spans="1:40" ht="24" customHeight="1">
      <c r="A8" s="381"/>
      <c r="B8" s="382"/>
      <c r="C8" s="383"/>
      <c r="D8" s="383"/>
      <c r="E8" s="383"/>
      <c r="F8" s="383"/>
      <c r="G8" s="383"/>
      <c r="H8" s="762" t="s">
        <v>204</v>
      </c>
      <c r="I8" s="763"/>
      <c r="J8" s="763"/>
      <c r="K8" s="764"/>
      <c r="L8" s="384"/>
      <c r="M8" s="385"/>
      <c r="AI8" s="446" t="s">
        <v>241</v>
      </c>
      <c r="AJ8" s="388" t="s">
        <v>14</v>
      </c>
      <c r="AK8" s="389" t="s">
        <v>242</v>
      </c>
      <c r="AL8" s="390" t="s">
        <v>243</v>
      </c>
      <c r="AM8" s="391"/>
      <c r="AN8" s="391" t="s">
        <v>244</v>
      </c>
    </row>
    <row r="9" spans="1:40" ht="24" customHeight="1">
      <c r="A9" s="381"/>
      <c r="B9" s="382"/>
      <c r="C9" s="383"/>
      <c r="D9" s="383"/>
      <c r="E9" s="383"/>
      <c r="F9" s="383"/>
      <c r="G9" s="383"/>
      <c r="H9" s="762" t="s">
        <v>205</v>
      </c>
      <c r="I9" s="763"/>
      <c r="J9" s="763"/>
      <c r="K9" s="764"/>
      <c r="L9" s="384"/>
      <c r="M9" s="385"/>
      <c r="N9" s="392">
        <f>SUM(O9:AB9)</f>
        <v>2754.9592476500002</v>
      </c>
      <c r="O9" s="393">
        <v>63.05</v>
      </c>
      <c r="P9" s="393">
        <v>363.36509999999998</v>
      </c>
      <c r="Q9" s="393">
        <v>157.61449099999999</v>
      </c>
      <c r="R9" s="393">
        <v>122.296868</v>
      </c>
      <c r="S9" s="393"/>
      <c r="T9" s="393">
        <v>687.09411299999999</v>
      </c>
      <c r="U9" s="394">
        <v>432.493359</v>
      </c>
      <c r="V9" s="393"/>
      <c r="W9" s="393">
        <v>567.82270000000005</v>
      </c>
      <c r="X9" s="393">
        <v>128.228759</v>
      </c>
      <c r="Y9" s="393">
        <v>39.988</v>
      </c>
      <c r="AA9" s="326">
        <v>103.4341</v>
      </c>
      <c r="AB9" s="393">
        <v>89.571757649999995</v>
      </c>
      <c r="AC9" s="368">
        <f>SUM(O9:AB9)</f>
        <v>2754.9592476500002</v>
      </c>
      <c r="AE9" s="368">
        <f>AC9</f>
        <v>2754.9592476500002</v>
      </c>
      <c r="AI9" s="395">
        <v>1</v>
      </c>
      <c r="AJ9" s="396" t="s">
        <v>245</v>
      </c>
      <c r="AK9" s="397">
        <v>172677500</v>
      </c>
      <c r="AL9" s="398">
        <v>13.36</v>
      </c>
      <c r="AM9" s="399" t="e">
        <f t="shared" ref="AM9:AM16" si="0">AL9*AK9/$C$13</f>
        <v>#DIV/0!</v>
      </c>
      <c r="AN9" s="399">
        <f>AL9*AK9/AK9</f>
        <v>13.36</v>
      </c>
    </row>
    <row r="10" spans="1:40" ht="24" customHeight="1">
      <c r="A10" s="381"/>
      <c r="B10" s="382"/>
      <c r="C10" s="383"/>
      <c r="D10" s="383"/>
      <c r="E10" s="383"/>
      <c r="F10" s="383"/>
      <c r="G10" s="383"/>
      <c r="I10" s="400" t="s">
        <v>54</v>
      </c>
      <c r="J10" s="472">
        <v>84.26</v>
      </c>
      <c r="K10" s="573" t="s">
        <v>51</v>
      </c>
      <c r="L10" s="384"/>
      <c r="M10" s="385"/>
      <c r="N10" s="368">
        <f>(O10*O9+P10*P9+Q10*Q9+R10*R9+S10*S9+T10*T9+U10*U9+V10*V9+W10*W9+X10*X9+Y10*Y9+Z10*Z9+AA10*AA9+AB10*AB9)/N9</f>
        <v>84.754654906071266</v>
      </c>
      <c r="O10" s="393">
        <v>100</v>
      </c>
      <c r="P10" s="393">
        <v>63.46</v>
      </c>
      <c r="Q10" s="393">
        <v>51.39</v>
      </c>
      <c r="R10" s="393">
        <v>100</v>
      </c>
      <c r="S10" s="393"/>
      <c r="T10" s="393">
        <v>100</v>
      </c>
      <c r="U10" s="393">
        <v>98.85</v>
      </c>
      <c r="V10" s="393"/>
      <c r="W10" s="401">
        <v>77.599999999999994</v>
      </c>
      <c r="X10" s="393">
        <v>66.87</v>
      </c>
      <c r="Y10" s="393">
        <v>100</v>
      </c>
      <c r="AA10" s="393">
        <v>71.75</v>
      </c>
      <c r="AB10" s="393">
        <v>92.47</v>
      </c>
      <c r="AC10" s="402">
        <f>J10</f>
        <v>84.26</v>
      </c>
      <c r="AE10" s="402">
        <f>J10</f>
        <v>84.26</v>
      </c>
      <c r="AI10" s="395">
        <v>2</v>
      </c>
      <c r="AJ10" s="396" t="s">
        <v>246</v>
      </c>
      <c r="AK10" s="397">
        <v>525283600</v>
      </c>
      <c r="AL10" s="398">
        <v>35.229999999999997</v>
      </c>
      <c r="AM10" s="399" t="e">
        <f t="shared" si="0"/>
        <v>#DIV/0!</v>
      </c>
      <c r="AN10" s="399">
        <f t="shared" ref="AN10:AN16" si="1">(AL10*AK10/AK10)</f>
        <v>35.229999999999997</v>
      </c>
    </row>
    <row r="11" spans="1:40" ht="24" customHeight="1">
      <c r="A11" s="507"/>
      <c r="B11" s="508"/>
      <c r="C11" s="509"/>
      <c r="D11" s="509"/>
      <c r="E11" s="509"/>
      <c r="F11" s="509"/>
      <c r="G11" s="509"/>
      <c r="H11" s="786"/>
      <c r="I11" s="787"/>
      <c r="J11" s="787"/>
      <c r="K11" s="788"/>
      <c r="L11" s="510"/>
      <c r="M11" s="376"/>
      <c r="AE11" s="368" t="s">
        <v>20</v>
      </c>
      <c r="AI11" s="395"/>
      <c r="AJ11" s="396" t="s">
        <v>247</v>
      </c>
      <c r="AK11" s="397">
        <v>63771100</v>
      </c>
      <c r="AL11" s="398">
        <v>0.28000000000000003</v>
      </c>
      <c r="AM11" s="399" t="e">
        <f t="shared" si="0"/>
        <v>#DIV/0!</v>
      </c>
      <c r="AN11" s="399"/>
    </row>
    <row r="12" spans="1:40" ht="24" customHeight="1">
      <c r="A12" s="379" t="s">
        <v>145</v>
      </c>
      <c r="B12" s="302">
        <v>16.36</v>
      </c>
      <c r="C12" s="506">
        <v>0.69</v>
      </c>
      <c r="D12" s="506">
        <v>0.72</v>
      </c>
      <c r="E12" s="506">
        <v>0.75</v>
      </c>
      <c r="F12" s="506">
        <v>0.78</v>
      </c>
      <c r="G12" s="506">
        <v>0.81</v>
      </c>
      <c r="H12" s="739" t="s">
        <v>206</v>
      </c>
      <c r="I12" s="739"/>
      <c r="J12" s="739"/>
      <c r="K12" s="740"/>
      <c r="L12" s="303">
        <v>5</v>
      </c>
      <c r="M12" s="380">
        <f>IF(L12=0,"-",ROUND(L12*B12/B$71,4))</f>
        <v>0.97799999999999998</v>
      </c>
      <c r="P12" s="368" t="s">
        <v>177</v>
      </c>
      <c r="Q12" s="368">
        <v>88227925</v>
      </c>
      <c r="R12" s="368">
        <v>454314777</v>
      </c>
      <c r="S12" s="368">
        <v>163703662</v>
      </c>
      <c r="T12" s="368">
        <v>340069114</v>
      </c>
      <c r="V12" s="368">
        <v>145609485</v>
      </c>
      <c r="W12" s="368">
        <v>376474997</v>
      </c>
      <c r="X12" s="368">
        <v>154664423</v>
      </c>
      <c r="Y12" s="368">
        <v>364453100</v>
      </c>
      <c r="Z12" s="368">
        <v>301496841</v>
      </c>
      <c r="AA12" s="368">
        <v>117859601</v>
      </c>
      <c r="AB12" s="368">
        <v>103922683</v>
      </c>
      <c r="AC12" s="368">
        <v>110709100</v>
      </c>
      <c r="AD12" s="368">
        <v>396724840</v>
      </c>
      <c r="AE12" s="368">
        <f>Q12+R12+S12+T12+V12+W12+X12+Y12+Z12+AA12+AB12+AC12+AD12</f>
        <v>3118230548</v>
      </c>
      <c r="AI12" s="395"/>
      <c r="AJ12" s="396" t="s">
        <v>248</v>
      </c>
      <c r="AK12" s="397">
        <v>85121200</v>
      </c>
      <c r="AL12" s="398">
        <v>2.0499999999999998</v>
      </c>
      <c r="AM12" s="399" t="e">
        <f t="shared" si="0"/>
        <v>#DIV/0!</v>
      </c>
      <c r="AN12" s="399"/>
    </row>
    <row r="13" spans="1:40" ht="24" customHeight="1">
      <c r="A13" s="381" t="s">
        <v>21</v>
      </c>
      <c r="B13" s="382"/>
      <c r="C13" s="383"/>
      <c r="D13" s="383"/>
      <c r="E13" s="383"/>
      <c r="F13" s="383"/>
      <c r="G13" s="383"/>
      <c r="H13" s="762" t="s">
        <v>207</v>
      </c>
      <c r="I13" s="763"/>
      <c r="J13" s="763"/>
      <c r="K13" s="764"/>
      <c r="L13" s="384"/>
      <c r="M13" s="385"/>
      <c r="P13" s="368" t="s">
        <v>179</v>
      </c>
      <c r="Q13" s="368">
        <v>62767727</v>
      </c>
      <c r="R13" s="368">
        <v>213672936</v>
      </c>
      <c r="S13" s="368">
        <v>25795924</v>
      </c>
      <c r="T13" s="368">
        <v>114556854</v>
      </c>
      <c r="V13" s="368">
        <v>128932639</v>
      </c>
      <c r="W13" s="368">
        <v>336587666</v>
      </c>
      <c r="X13" s="368">
        <v>52373847</v>
      </c>
      <c r="Y13" s="368">
        <v>90762837</v>
      </c>
      <c r="Z13" s="368">
        <v>241819557</v>
      </c>
      <c r="AA13" s="368">
        <v>53872593</v>
      </c>
      <c r="AB13" s="368">
        <v>20156387</v>
      </c>
      <c r="AC13" s="368">
        <v>73919342</v>
      </c>
      <c r="AD13" s="368">
        <v>64957443</v>
      </c>
      <c r="AE13" s="403">
        <f>Q13+R13+S13+T13+V13+W13+X13+Y13+Z13+AA13+AB13+AC13+AD13</f>
        <v>1480175752</v>
      </c>
      <c r="AI13" s="395"/>
      <c r="AJ13" s="396" t="s">
        <v>249</v>
      </c>
      <c r="AK13" s="397">
        <v>115875000</v>
      </c>
      <c r="AL13" s="398">
        <v>0</v>
      </c>
      <c r="AM13" s="399" t="e">
        <f t="shared" si="0"/>
        <v>#DIV/0!</v>
      </c>
      <c r="AN13" s="399"/>
    </row>
    <row r="14" spans="1:40" ht="24" customHeight="1">
      <c r="A14" s="381"/>
      <c r="B14" s="382"/>
      <c r="C14" s="383"/>
      <c r="D14" s="383"/>
      <c r="E14" s="383"/>
      <c r="F14" s="383"/>
      <c r="G14" s="383"/>
      <c r="H14" s="762" t="s">
        <v>299</v>
      </c>
      <c r="I14" s="763"/>
      <c r="J14" s="763"/>
      <c r="K14" s="764"/>
      <c r="L14" s="384"/>
      <c r="M14" s="385"/>
      <c r="P14" s="368" t="s">
        <v>194</v>
      </c>
      <c r="Q14" s="368">
        <v>19.71</v>
      </c>
      <c r="R14" s="368">
        <v>38.619999999999997</v>
      </c>
      <c r="S14" s="368">
        <v>5.8</v>
      </c>
      <c r="T14" s="368">
        <v>21.95</v>
      </c>
      <c r="AE14" s="404">
        <f>(AE13/AE12)*100</f>
        <v>47.468451393030229</v>
      </c>
      <c r="AI14" s="395">
        <v>4</v>
      </c>
      <c r="AJ14" s="396" t="s">
        <v>250</v>
      </c>
      <c r="AK14" s="397">
        <v>1039701600</v>
      </c>
      <c r="AL14" s="398">
        <v>5.62</v>
      </c>
      <c r="AM14" s="399" t="e">
        <f t="shared" si="0"/>
        <v>#DIV/0!</v>
      </c>
      <c r="AN14" s="399">
        <f t="shared" si="1"/>
        <v>5.62</v>
      </c>
    </row>
    <row r="15" spans="1:40" ht="24" customHeight="1">
      <c r="A15" s="381"/>
      <c r="B15" s="382"/>
      <c r="C15" s="383"/>
      <c r="D15" s="383"/>
      <c r="E15" s="383"/>
      <c r="F15" s="383"/>
      <c r="G15" s="383"/>
      <c r="H15" s="577"/>
      <c r="I15" s="400" t="s">
        <v>199</v>
      </c>
      <c r="J15" s="472">
        <v>84.56</v>
      </c>
      <c r="K15" s="573" t="s">
        <v>51</v>
      </c>
      <c r="L15" s="384"/>
      <c r="M15" s="385"/>
      <c r="Q15" s="368">
        <f>(Q12*Q14)/AE12</f>
        <v>0.55767922704283635</v>
      </c>
      <c r="R15" s="368">
        <f>(R12*R14)/AE12</f>
        <v>5.6267926369310901</v>
      </c>
      <c r="S15" s="368">
        <f>(S12*S14)/AE12</f>
        <v>0.3044935982071586</v>
      </c>
      <c r="T15" s="368">
        <f>(T12*T14)/AE12</f>
        <v>2.3938310325026038</v>
      </c>
      <c r="V15" s="368">
        <f>(V12*V14)/AE12</f>
        <v>0</v>
      </c>
      <c r="W15" s="368">
        <f>(W12*W14)/AE12</f>
        <v>0</v>
      </c>
      <c r="X15" s="368">
        <f>(X12*X14)/AE12</f>
        <v>0</v>
      </c>
      <c r="Y15" s="368">
        <f>(Y12*Y14)/AE12</f>
        <v>0</v>
      </c>
      <c r="Z15" s="368">
        <f>(Z12*Z14)/AE12</f>
        <v>0</v>
      </c>
      <c r="AA15" s="368">
        <f>(AA12*AA14)/AE12</f>
        <v>0</v>
      </c>
      <c r="AB15" s="368">
        <f>(AB12*AB14)/AE12</f>
        <v>0</v>
      </c>
      <c r="AC15" s="368">
        <f>(AC12*AC14)/AE12</f>
        <v>0</v>
      </c>
      <c r="AD15" s="368">
        <f>(AD12*AD14)/AE12</f>
        <v>0</v>
      </c>
      <c r="AE15" s="368">
        <f>(Q15+R15+S15+T15+V15+W15+X15+Y15+Z15+AA15+AB15+AC15+AD15)/AE12</f>
        <v>2.8486657281903096E-9</v>
      </c>
      <c r="AI15" s="395">
        <v>5</v>
      </c>
      <c r="AJ15" s="396" t="s">
        <v>251</v>
      </c>
      <c r="AK15" s="397">
        <v>636679600</v>
      </c>
      <c r="AL15" s="398">
        <v>13.07</v>
      </c>
      <c r="AM15" s="399" t="e">
        <f t="shared" si="0"/>
        <v>#DIV/0!</v>
      </c>
      <c r="AN15" s="399">
        <f t="shared" si="1"/>
        <v>13.07</v>
      </c>
    </row>
    <row r="16" spans="1:40" ht="24" customHeight="1">
      <c r="A16" s="507"/>
      <c r="B16" s="508"/>
      <c r="C16" s="509"/>
      <c r="D16" s="509"/>
      <c r="E16" s="509"/>
      <c r="F16" s="509"/>
      <c r="G16" s="509"/>
      <c r="H16" s="511"/>
      <c r="I16" s="512"/>
      <c r="J16" s="513"/>
      <c r="K16" s="514"/>
      <c r="L16" s="510"/>
      <c r="M16" s="376"/>
      <c r="S16" s="368">
        <v>278676</v>
      </c>
      <c r="AI16" s="395">
        <v>8</v>
      </c>
      <c r="AJ16" s="396" t="s">
        <v>252</v>
      </c>
      <c r="AK16" s="397">
        <v>168866326</v>
      </c>
      <c r="AL16" s="398">
        <v>25.53</v>
      </c>
      <c r="AM16" s="399" t="e">
        <f t="shared" si="0"/>
        <v>#DIV/0!</v>
      </c>
      <c r="AN16" s="399">
        <f t="shared" si="1"/>
        <v>25.529999999999998</v>
      </c>
    </row>
    <row r="17" spans="1:40" ht="24" customHeight="1">
      <c r="A17" s="379" t="s">
        <v>146</v>
      </c>
      <c r="B17" s="302">
        <v>5.45</v>
      </c>
      <c r="C17" s="405">
        <v>0.92</v>
      </c>
      <c r="D17" s="405">
        <v>0.94</v>
      </c>
      <c r="E17" s="405">
        <v>0.96</v>
      </c>
      <c r="F17" s="405">
        <v>0.98</v>
      </c>
      <c r="G17" s="405">
        <v>1</v>
      </c>
      <c r="H17" s="738" t="s">
        <v>312</v>
      </c>
      <c r="I17" s="739"/>
      <c r="J17" s="739"/>
      <c r="K17" s="740"/>
      <c r="L17" s="303">
        <v>4.83</v>
      </c>
      <c r="M17" s="380">
        <f>IF(L17=0,"-",ROUND(L17*B17/B$71,4))</f>
        <v>0.31469999999999998</v>
      </c>
      <c r="S17" s="368">
        <v>59800</v>
      </c>
      <c r="AI17" s="430"/>
      <c r="AJ17" s="431"/>
      <c r="AK17" s="432"/>
      <c r="AL17" s="433"/>
      <c r="AM17" s="434"/>
      <c r="AN17" s="434"/>
    </row>
    <row r="18" spans="1:40" ht="24" customHeight="1">
      <c r="A18" s="381" t="s">
        <v>23</v>
      </c>
      <c r="B18" s="382"/>
      <c r="C18" s="383"/>
      <c r="D18" s="383"/>
      <c r="E18" s="383"/>
      <c r="F18" s="383"/>
      <c r="G18" s="383"/>
      <c r="H18" s="762" t="s">
        <v>313</v>
      </c>
      <c r="I18" s="763"/>
      <c r="J18" s="763"/>
      <c r="K18" s="764"/>
      <c r="L18" s="384"/>
      <c r="M18" s="385"/>
      <c r="S18" s="368">
        <v>921324</v>
      </c>
      <c r="AI18" s="430"/>
      <c r="AJ18" s="431"/>
      <c r="AK18" s="432"/>
      <c r="AL18" s="433"/>
      <c r="AM18" s="434"/>
      <c r="AN18" s="434"/>
    </row>
    <row r="19" spans="1:40" ht="24" customHeight="1">
      <c r="A19" s="381" t="s">
        <v>24</v>
      </c>
      <c r="B19" s="382"/>
      <c r="C19" s="383"/>
      <c r="D19" s="383"/>
      <c r="E19" s="383"/>
      <c r="F19" s="383"/>
      <c r="G19" s="383"/>
      <c r="H19" s="762" t="s">
        <v>272</v>
      </c>
      <c r="I19" s="763"/>
      <c r="J19" s="763"/>
      <c r="K19" s="764"/>
      <c r="L19" s="384"/>
      <c r="M19" s="385"/>
      <c r="S19" s="368">
        <v>278675</v>
      </c>
      <c r="AI19" s="446" t="s">
        <v>263</v>
      </c>
      <c r="AJ19" s="435" t="s">
        <v>14</v>
      </c>
      <c r="AK19" s="436" t="s">
        <v>264</v>
      </c>
      <c r="AL19" s="437" t="s">
        <v>86</v>
      </c>
      <c r="AM19" s="438"/>
      <c r="AN19" s="438" t="s">
        <v>265</v>
      </c>
    </row>
    <row r="20" spans="1:40" ht="24" customHeight="1">
      <c r="A20" s="381"/>
      <c r="B20" s="382"/>
      <c r="C20" s="383"/>
      <c r="D20" s="383"/>
      <c r="E20" s="383"/>
      <c r="F20" s="383"/>
      <c r="G20" s="383"/>
      <c r="H20" s="577" t="s">
        <v>200</v>
      </c>
      <c r="I20" s="400" t="s">
        <v>56</v>
      </c>
      <c r="J20" s="472">
        <v>99.66</v>
      </c>
      <c r="K20" s="573" t="s">
        <v>51</v>
      </c>
      <c r="L20" s="384"/>
      <c r="M20" s="385"/>
      <c r="S20" s="368">
        <v>250781</v>
      </c>
      <c r="AI20" s="439">
        <v>2</v>
      </c>
      <c r="AJ20" s="440" t="s">
        <v>266</v>
      </c>
      <c r="AK20" s="441">
        <v>300000</v>
      </c>
      <c r="AL20" s="442">
        <v>25981.55</v>
      </c>
      <c r="AM20" s="443"/>
      <c r="AN20" s="443">
        <f>AL20*100/AK20</f>
        <v>8.6605166666666662</v>
      </c>
    </row>
    <row r="21" spans="1:40" ht="24" customHeight="1">
      <c r="A21" s="381"/>
      <c r="B21" s="382"/>
      <c r="C21" s="383"/>
      <c r="D21" s="383"/>
      <c r="E21" s="383"/>
      <c r="F21" s="383"/>
      <c r="G21" s="383"/>
      <c r="H21" s="424"/>
      <c r="I21" s="425"/>
      <c r="J21" s="425"/>
      <c r="K21" s="426"/>
      <c r="L21" s="384"/>
      <c r="M21" s="385"/>
      <c r="S21" s="368">
        <v>39205</v>
      </c>
      <c r="AI21" s="395">
        <v>3</v>
      </c>
      <c r="AJ21" s="396" t="s">
        <v>267</v>
      </c>
      <c r="AK21" s="397">
        <v>300000</v>
      </c>
      <c r="AL21" s="410">
        <v>26160</v>
      </c>
      <c r="AM21" s="411"/>
      <c r="AN21" s="411">
        <f t="shared" ref="AN21:AN39" si="2">AL21*100/AK21</f>
        <v>8.7200000000000006</v>
      </c>
    </row>
    <row r="22" spans="1:40" ht="24" customHeight="1">
      <c r="A22" s="379" t="s">
        <v>147</v>
      </c>
      <c r="B22" s="302">
        <v>5.45</v>
      </c>
      <c r="C22" s="405">
        <v>0.96</v>
      </c>
      <c r="D22" s="405">
        <v>0.97</v>
      </c>
      <c r="E22" s="405">
        <v>0.98</v>
      </c>
      <c r="F22" s="405">
        <v>0.99</v>
      </c>
      <c r="G22" s="405">
        <v>1</v>
      </c>
      <c r="H22" s="738" t="s">
        <v>300</v>
      </c>
      <c r="I22" s="739"/>
      <c r="J22" s="739"/>
      <c r="K22" s="740"/>
      <c r="L22" s="303">
        <v>4.59</v>
      </c>
      <c r="M22" s="380">
        <f>IF(L22=0,"-",ROUND(L22*B22/B$71,4))</f>
        <v>0.29909999999999998</v>
      </c>
      <c r="Q22" s="368" t="s">
        <v>164</v>
      </c>
      <c r="R22" s="368" t="s">
        <v>165</v>
      </c>
      <c r="S22" s="368" t="s">
        <v>166</v>
      </c>
      <c r="T22" s="368" t="s">
        <v>167</v>
      </c>
      <c r="U22" s="368" t="s">
        <v>168</v>
      </c>
      <c r="V22" s="368" t="s">
        <v>169</v>
      </c>
      <c r="W22" s="368" t="s">
        <v>170</v>
      </c>
      <c r="X22" s="368" t="s">
        <v>171</v>
      </c>
      <c r="Y22" s="368" t="s">
        <v>172</v>
      </c>
      <c r="Z22" s="368" t="s">
        <v>173</v>
      </c>
      <c r="AA22" s="368" t="s">
        <v>174</v>
      </c>
      <c r="AB22" s="368" t="s">
        <v>175</v>
      </c>
      <c r="AC22" s="368" t="s">
        <v>176</v>
      </c>
      <c r="AD22" s="368" t="s">
        <v>178</v>
      </c>
      <c r="AE22" s="368" t="s">
        <v>20</v>
      </c>
      <c r="AI22" s="395"/>
      <c r="AJ22" s="396" t="s">
        <v>258</v>
      </c>
      <c r="AK22" s="397">
        <v>72151000</v>
      </c>
      <c r="AL22" s="398">
        <v>20.47</v>
      </c>
      <c r="AM22" s="399" t="e">
        <f t="shared" ref="AM22:AM25" si="3">AL22*AK22/$C$13</f>
        <v>#DIV/0!</v>
      </c>
      <c r="AN22" s="399"/>
    </row>
    <row r="23" spans="1:40" ht="24" customHeight="1">
      <c r="A23" s="381" t="s">
        <v>26</v>
      </c>
      <c r="B23" s="382"/>
      <c r="C23" s="383"/>
      <c r="D23" s="383"/>
      <c r="E23" s="383"/>
      <c r="F23" s="383"/>
      <c r="G23" s="383"/>
      <c r="H23" s="765" t="s">
        <v>301</v>
      </c>
      <c r="I23" s="766"/>
      <c r="J23" s="766"/>
      <c r="K23" s="767"/>
      <c r="L23" s="384"/>
      <c r="M23" s="385"/>
      <c r="P23" s="368" t="s">
        <v>179</v>
      </c>
      <c r="Q23" s="368">
        <v>0</v>
      </c>
      <c r="R23" s="368" t="e">
        <f>R25+#REF!</f>
        <v>#REF!</v>
      </c>
      <c r="S23" s="368" t="e">
        <f>S25+#REF!+S26+S27+S28+S29+S30+S31</f>
        <v>#REF!</v>
      </c>
      <c r="T23" s="368">
        <v>15621046</v>
      </c>
      <c r="W23" s="368" t="e">
        <f>W25+#REF!</f>
        <v>#REF!</v>
      </c>
      <c r="X23" s="368" t="e">
        <f>X25+#REF!</f>
        <v>#REF!</v>
      </c>
      <c r="Y23" s="368">
        <v>3065219</v>
      </c>
      <c r="Z23" s="368" t="e">
        <f>Z25+#REF!</f>
        <v>#REF!</v>
      </c>
      <c r="AA23" s="368">
        <v>5762411</v>
      </c>
      <c r="AB23" s="368">
        <v>15507983</v>
      </c>
      <c r="AD23" s="368" t="e">
        <f>AD25+#REF!</f>
        <v>#REF!</v>
      </c>
      <c r="AE23" s="368" t="e">
        <f>Q23+R23+S23+T23+W23+X23+Y23+AA23+AB23+AD23</f>
        <v>#REF!</v>
      </c>
      <c r="AF23" s="368" t="e">
        <f>AE23/AE24*100</f>
        <v>#REF!</v>
      </c>
      <c r="AG23" s="368" t="e">
        <f>R23+T23+W23+X23+Y23+Z23+AA23+AB23+AD23</f>
        <v>#REF!</v>
      </c>
      <c r="AH23" s="368" t="e">
        <f>AG23/AG24*100</f>
        <v>#REF!</v>
      </c>
      <c r="AI23" s="395">
        <v>12</v>
      </c>
      <c r="AJ23" s="396" t="s">
        <v>259</v>
      </c>
      <c r="AK23" s="397">
        <v>232129108</v>
      </c>
      <c r="AL23" s="398">
        <v>8.2200000000000006</v>
      </c>
      <c r="AM23" s="399" t="e">
        <f t="shared" si="3"/>
        <v>#DIV/0!</v>
      </c>
      <c r="AN23" s="399">
        <f t="shared" ref="AN23" si="4">(AL23*AK23/AK23)</f>
        <v>8.2200000000000006</v>
      </c>
    </row>
    <row r="24" spans="1:40" ht="24" customHeight="1">
      <c r="A24" s="381"/>
      <c r="B24" s="382"/>
      <c r="C24" s="383"/>
      <c r="D24" s="383"/>
      <c r="E24" s="383"/>
      <c r="F24" s="383"/>
      <c r="G24" s="383"/>
      <c r="H24" s="765" t="s">
        <v>302</v>
      </c>
      <c r="I24" s="766"/>
      <c r="J24" s="766"/>
      <c r="K24" s="767"/>
      <c r="L24" s="384"/>
      <c r="M24" s="385"/>
      <c r="P24" s="368" t="s">
        <v>177</v>
      </c>
      <c r="Q24" s="368">
        <v>0</v>
      </c>
      <c r="R24" s="368" t="e">
        <f>#REF!+R20</f>
        <v>#REF!</v>
      </c>
      <c r="S24" s="368" t="e">
        <f>#REF!+S20+S19+S18+S17+S16+#REF!+#REF!</f>
        <v>#REF!</v>
      </c>
      <c r="T24" s="368">
        <v>31415454</v>
      </c>
      <c r="W24" s="368" t="e">
        <f>#REF!+W20</f>
        <v>#REF!</v>
      </c>
      <c r="X24" s="368" t="e">
        <f>#REF!+X20</f>
        <v>#REF!</v>
      </c>
      <c r="Y24" s="368">
        <v>3065219</v>
      </c>
      <c r="Z24" s="368" t="e">
        <f>#REF!+Z20</f>
        <v>#REF!</v>
      </c>
      <c r="AA24" s="368">
        <v>5836386</v>
      </c>
      <c r="AB24" s="368">
        <v>15507983</v>
      </c>
      <c r="AD24" s="368" t="e">
        <f>#REF!+AD20</f>
        <v>#REF!</v>
      </c>
      <c r="AE24" s="368" t="e">
        <f>Q24+R24+S24+T24+W24+X24+Y24+Z24+AA24+AB24+AD24</f>
        <v>#REF!</v>
      </c>
      <c r="AG24" s="368" t="e">
        <f>R24+T24+W24+X24+Y24+Z24+AA24+AB24</f>
        <v>#REF!</v>
      </c>
      <c r="AI24" s="395">
        <v>13</v>
      </c>
      <c r="AJ24" s="396" t="s">
        <v>260</v>
      </c>
      <c r="AK24" s="397">
        <v>75897000</v>
      </c>
      <c r="AL24" s="398">
        <v>11.23</v>
      </c>
      <c r="AM24" s="399" t="e">
        <f t="shared" si="3"/>
        <v>#DIV/0!</v>
      </c>
      <c r="AN24" s="399" t="e">
        <f>(AL24*AK24/(AK24+AK25+#REF!))+(AL25*AK25/(AK24+AK25+#REF!))+(#REF!*#REF!/(AK24+AK25+#REF!))</f>
        <v>#REF!</v>
      </c>
    </row>
    <row r="25" spans="1:40" ht="24" customHeight="1">
      <c r="A25" s="381"/>
      <c r="B25" s="382"/>
      <c r="C25" s="383"/>
      <c r="D25" s="383"/>
      <c r="E25" s="383"/>
      <c r="F25" s="383"/>
      <c r="G25" s="383"/>
      <c r="H25" s="571"/>
      <c r="I25" s="400" t="s">
        <v>56</v>
      </c>
      <c r="J25" s="472">
        <v>99.59</v>
      </c>
      <c r="K25" s="573" t="s">
        <v>51</v>
      </c>
      <c r="L25" s="384"/>
      <c r="M25" s="385"/>
      <c r="R25" s="368">
        <v>790426</v>
      </c>
      <c r="S25" s="368">
        <v>5889465</v>
      </c>
      <c r="W25" s="368">
        <v>28318909</v>
      </c>
      <c r="X25" s="368">
        <v>51237335</v>
      </c>
      <c r="Z25" s="368">
        <v>117026964</v>
      </c>
      <c r="AD25" s="368">
        <v>7959313</v>
      </c>
      <c r="AI25" s="395"/>
      <c r="AJ25" s="396" t="s">
        <v>261</v>
      </c>
      <c r="AK25" s="397">
        <v>28808000</v>
      </c>
      <c r="AL25" s="398">
        <v>79.489999999999995</v>
      </c>
      <c r="AM25" s="399" t="e">
        <f t="shared" si="3"/>
        <v>#DIV/0!</v>
      </c>
      <c r="AN25" s="399"/>
    </row>
    <row r="26" spans="1:40" ht="24" customHeight="1">
      <c r="A26" s="507"/>
      <c r="B26" s="508"/>
      <c r="C26" s="509"/>
      <c r="D26" s="509"/>
      <c r="E26" s="509"/>
      <c r="F26" s="509"/>
      <c r="G26" s="509"/>
      <c r="H26" s="511"/>
      <c r="I26" s="587"/>
      <c r="J26" s="587"/>
      <c r="K26" s="588"/>
      <c r="L26" s="510"/>
      <c r="M26" s="376"/>
      <c r="S26" s="368">
        <v>673915</v>
      </c>
      <c r="AI26" s="771" t="s">
        <v>20</v>
      </c>
      <c r="AJ26" s="772"/>
      <c r="AK26" s="408">
        <f>SUM(AK9:AK25)</f>
        <v>3217561034</v>
      </c>
      <c r="AL26" s="409" t="e">
        <f>SUM(AM9:AM25)</f>
        <v>#DIV/0!</v>
      </c>
      <c r="AM26" s="399"/>
      <c r="AN26" s="399"/>
    </row>
    <row r="27" spans="1:40" ht="24" customHeight="1">
      <c r="A27" s="379" t="s">
        <v>148</v>
      </c>
      <c r="B27" s="302">
        <v>5.45</v>
      </c>
      <c r="C27" s="405">
        <v>0.96</v>
      </c>
      <c r="D27" s="405">
        <v>0.97</v>
      </c>
      <c r="E27" s="405">
        <v>0.98</v>
      </c>
      <c r="F27" s="405">
        <v>0.99</v>
      </c>
      <c r="G27" s="405">
        <v>1</v>
      </c>
      <c r="H27" s="779" t="s">
        <v>323</v>
      </c>
      <c r="I27" s="780"/>
      <c r="J27" s="780"/>
      <c r="K27" s="781"/>
      <c r="L27" s="303">
        <v>5</v>
      </c>
      <c r="M27" s="380">
        <v>0.34849999999999998</v>
      </c>
      <c r="Y27" s="368" t="e">
        <f>#REF!/#REF!*100</f>
        <v>#REF!</v>
      </c>
      <c r="AI27" s="395">
        <v>4</v>
      </c>
      <c r="AJ27" s="396" t="s">
        <v>268</v>
      </c>
      <c r="AK27" s="397">
        <v>500000</v>
      </c>
      <c r="AL27" s="410">
        <v>166219.85</v>
      </c>
      <c r="AM27" s="411"/>
      <c r="AN27" s="411">
        <f t="shared" si="2"/>
        <v>33.243969999999997</v>
      </c>
    </row>
    <row r="28" spans="1:40" ht="24" customHeight="1">
      <c r="A28" s="381" t="s">
        <v>28</v>
      </c>
      <c r="B28" s="382"/>
      <c r="C28" s="383"/>
      <c r="D28" s="383"/>
      <c r="E28" s="383"/>
      <c r="F28" s="383"/>
      <c r="G28" s="383"/>
      <c r="H28" s="762" t="s">
        <v>324</v>
      </c>
      <c r="I28" s="763"/>
      <c r="J28" s="763"/>
      <c r="K28" s="764"/>
      <c r="L28" s="384"/>
      <c r="M28" s="385"/>
      <c r="AI28" s="395">
        <v>6</v>
      </c>
      <c r="AJ28" s="396" t="s">
        <v>269</v>
      </c>
      <c r="AK28" s="397">
        <v>300000</v>
      </c>
      <c r="AL28" s="410">
        <v>49020</v>
      </c>
      <c r="AM28" s="411"/>
      <c r="AN28" s="411">
        <f t="shared" si="2"/>
        <v>16.34</v>
      </c>
    </row>
    <row r="29" spans="1:40" ht="24" customHeight="1">
      <c r="A29" s="381" t="s">
        <v>60</v>
      </c>
      <c r="B29" s="382"/>
      <c r="C29" s="383"/>
      <c r="D29" s="383"/>
      <c r="E29" s="383"/>
      <c r="F29" s="383"/>
      <c r="G29" s="383"/>
      <c r="H29" s="762" t="s">
        <v>325</v>
      </c>
      <c r="I29" s="763"/>
      <c r="J29" s="763"/>
      <c r="K29" s="764"/>
      <c r="L29" s="384"/>
      <c r="M29" s="385"/>
      <c r="AI29" s="395">
        <v>9</v>
      </c>
      <c r="AJ29" s="396" t="s">
        <v>271</v>
      </c>
      <c r="AK29" s="397">
        <v>300000</v>
      </c>
      <c r="AL29" s="410">
        <v>0</v>
      </c>
      <c r="AM29" s="411"/>
      <c r="AN29" s="411">
        <f t="shared" si="2"/>
        <v>0</v>
      </c>
    </row>
    <row r="30" spans="1:40" ht="24" customHeight="1">
      <c r="A30" s="381"/>
      <c r="B30" s="382"/>
      <c r="C30" s="383"/>
      <c r="D30" s="383"/>
      <c r="E30" s="383"/>
      <c r="F30" s="383"/>
      <c r="G30" s="383"/>
      <c r="H30" s="577"/>
      <c r="I30" s="400" t="s">
        <v>66</v>
      </c>
      <c r="J30" s="591">
        <v>2</v>
      </c>
      <c r="K30" s="578" t="s">
        <v>61</v>
      </c>
      <c r="L30" s="384"/>
      <c r="M30" s="385"/>
      <c r="AI30" s="395">
        <v>11</v>
      </c>
      <c r="AJ30" s="396" t="s">
        <v>273</v>
      </c>
      <c r="AK30" s="397">
        <v>500000</v>
      </c>
      <c r="AL30" s="410">
        <v>62536.11</v>
      </c>
      <c r="AM30" s="411"/>
      <c r="AN30" s="411">
        <f t="shared" si="2"/>
        <v>12.507222000000001</v>
      </c>
    </row>
    <row r="31" spans="1:40" ht="24" customHeight="1">
      <c r="A31" s="381"/>
      <c r="B31" s="382"/>
      <c r="C31" s="383"/>
      <c r="D31" s="383"/>
      <c r="E31" s="383"/>
      <c r="F31" s="383"/>
      <c r="G31" s="383"/>
      <c r="H31" s="577"/>
      <c r="I31" s="400" t="s">
        <v>67</v>
      </c>
      <c r="J31" s="591">
        <v>2</v>
      </c>
      <c r="K31" s="578" t="s">
        <v>61</v>
      </c>
      <c r="L31" s="384"/>
      <c r="M31" s="385"/>
      <c r="AI31" s="395"/>
      <c r="AJ31" s="396" t="s">
        <v>275</v>
      </c>
      <c r="AK31" s="397">
        <v>300000</v>
      </c>
      <c r="AL31" s="410">
        <v>57903.85</v>
      </c>
      <c r="AM31" s="411"/>
      <c r="AN31" s="411">
        <f t="shared" si="2"/>
        <v>19.301283333333334</v>
      </c>
    </row>
    <row r="32" spans="1:40" ht="24" customHeight="1">
      <c r="A32" s="381"/>
      <c r="B32" s="382"/>
      <c r="C32" s="383"/>
      <c r="D32" s="383"/>
      <c r="E32" s="383"/>
      <c r="F32" s="383"/>
      <c r="G32" s="383"/>
      <c r="H32" s="571"/>
      <c r="I32" s="589" t="s">
        <v>81</v>
      </c>
      <c r="J32" s="532">
        <f>J31*100/J30</f>
        <v>100</v>
      </c>
      <c r="K32" s="573" t="s">
        <v>51</v>
      </c>
      <c r="L32" s="384"/>
      <c r="M32" s="385"/>
      <c r="AI32" s="395"/>
      <c r="AJ32" s="396" t="s">
        <v>276</v>
      </c>
      <c r="AK32" s="397">
        <v>300000</v>
      </c>
      <c r="AL32" s="410">
        <v>94848.7</v>
      </c>
      <c r="AM32" s="411"/>
      <c r="AN32" s="411">
        <f t="shared" si="2"/>
        <v>31.616233333333334</v>
      </c>
    </row>
    <row r="33" spans="1:40" ht="24" customHeight="1">
      <c r="A33" s="507"/>
      <c r="B33" s="508"/>
      <c r="C33" s="509"/>
      <c r="D33" s="509"/>
      <c r="E33" s="509"/>
      <c r="F33" s="509"/>
      <c r="G33" s="509"/>
      <c r="H33" s="773"/>
      <c r="I33" s="769"/>
      <c r="J33" s="769"/>
      <c r="K33" s="770"/>
      <c r="L33" s="510"/>
      <c r="M33" s="376"/>
      <c r="AI33" s="395">
        <v>13</v>
      </c>
      <c r="AJ33" s="396" t="s">
        <v>281</v>
      </c>
      <c r="AK33" s="397">
        <v>300000</v>
      </c>
      <c r="AL33" s="410">
        <v>205897.2</v>
      </c>
      <c r="AM33" s="411"/>
      <c r="AN33" s="411">
        <f t="shared" si="2"/>
        <v>68.632400000000004</v>
      </c>
    </row>
    <row r="34" spans="1:40" ht="24" customHeight="1">
      <c r="A34" s="379" t="s">
        <v>160</v>
      </c>
      <c r="B34" s="302">
        <v>5.45</v>
      </c>
      <c r="C34" s="405">
        <v>0.5</v>
      </c>
      <c r="D34" s="405">
        <v>0.75</v>
      </c>
      <c r="E34" s="405">
        <v>1</v>
      </c>
      <c r="F34" s="405">
        <v>1</v>
      </c>
      <c r="G34" s="405">
        <v>1</v>
      </c>
      <c r="H34" s="738" t="s">
        <v>309</v>
      </c>
      <c r="I34" s="739"/>
      <c r="J34" s="739"/>
      <c r="K34" s="740"/>
      <c r="L34" s="303">
        <v>1</v>
      </c>
      <c r="M34" s="380">
        <f>IF(L34=0,"-",ROUND(L34*B34/B$71,4))</f>
        <v>6.5199999999999994E-2</v>
      </c>
      <c r="AI34" s="395"/>
      <c r="AJ34" s="396" t="s">
        <v>282</v>
      </c>
      <c r="AK34" s="397">
        <v>300000</v>
      </c>
      <c r="AL34" s="410">
        <v>100339.9</v>
      </c>
      <c r="AM34" s="411"/>
      <c r="AN34" s="411">
        <f t="shared" si="2"/>
        <v>33.446633333333331</v>
      </c>
    </row>
    <row r="35" spans="1:40" ht="24" customHeight="1">
      <c r="A35" s="381" t="s">
        <v>161</v>
      </c>
      <c r="B35" s="515"/>
      <c r="C35" s="516"/>
      <c r="D35" s="516"/>
      <c r="E35" s="516"/>
      <c r="F35" s="516" t="s">
        <v>70</v>
      </c>
      <c r="G35" s="516" t="s">
        <v>70</v>
      </c>
      <c r="H35" s="763" t="s">
        <v>213</v>
      </c>
      <c r="I35" s="763"/>
      <c r="J35" s="763"/>
      <c r="K35" s="764"/>
      <c r="L35" s="384"/>
      <c r="M35" s="385"/>
      <c r="AI35" s="395"/>
      <c r="AJ35" s="396" t="s">
        <v>283</v>
      </c>
      <c r="AK35" s="397">
        <v>300000</v>
      </c>
      <c r="AL35" s="410">
        <v>57000</v>
      </c>
      <c r="AM35" s="411"/>
      <c r="AN35" s="411">
        <f t="shared" si="2"/>
        <v>19</v>
      </c>
    </row>
    <row r="36" spans="1:40" ht="24" customHeight="1">
      <c r="A36" s="381" t="s">
        <v>310</v>
      </c>
      <c r="B36" s="515"/>
      <c r="C36" s="516"/>
      <c r="D36" s="516"/>
      <c r="E36" s="516"/>
      <c r="F36" s="516" t="s">
        <v>138</v>
      </c>
      <c r="G36" s="516" t="s">
        <v>139</v>
      </c>
      <c r="H36" s="577" t="s">
        <v>200</v>
      </c>
      <c r="I36" s="400" t="s">
        <v>56</v>
      </c>
      <c r="J36" s="472">
        <v>20</v>
      </c>
      <c r="K36" s="573" t="s">
        <v>51</v>
      </c>
      <c r="L36" s="384"/>
      <c r="M36" s="385"/>
      <c r="AI36" s="395"/>
      <c r="AJ36" s="396" t="s">
        <v>284</v>
      </c>
      <c r="AK36" s="397">
        <v>300000</v>
      </c>
      <c r="AL36" s="410">
        <v>54914.85</v>
      </c>
      <c r="AM36" s="411"/>
      <c r="AN36" s="411">
        <f t="shared" si="2"/>
        <v>18.304950000000002</v>
      </c>
    </row>
    <row r="37" spans="1:40" ht="24" customHeight="1">
      <c r="A37" s="507"/>
      <c r="B37" s="508"/>
      <c r="C37" s="509"/>
      <c r="D37" s="509"/>
      <c r="E37" s="509"/>
      <c r="F37" s="509"/>
      <c r="G37" s="509"/>
      <c r="H37" s="773"/>
      <c r="I37" s="774"/>
      <c r="J37" s="774"/>
      <c r="K37" s="775"/>
      <c r="L37" s="510"/>
      <c r="M37" s="376"/>
      <c r="AI37" s="395"/>
      <c r="AJ37" s="396" t="s">
        <v>285</v>
      </c>
      <c r="AK37" s="397">
        <v>300000</v>
      </c>
      <c r="AL37" s="410">
        <v>66279.649999999994</v>
      </c>
      <c r="AM37" s="411"/>
      <c r="AN37" s="411">
        <f t="shared" si="2"/>
        <v>22.093216666666663</v>
      </c>
    </row>
    <row r="38" spans="1:40" ht="24" customHeight="1">
      <c r="A38" s="379" t="s">
        <v>149</v>
      </c>
      <c r="B38" s="302">
        <v>16.36</v>
      </c>
      <c r="C38" s="405">
        <v>0.75</v>
      </c>
      <c r="D38" s="405">
        <v>0.78</v>
      </c>
      <c r="E38" s="405">
        <v>0.81</v>
      </c>
      <c r="F38" s="405">
        <v>0.84</v>
      </c>
      <c r="G38" s="405">
        <v>0.87</v>
      </c>
      <c r="H38" s="738" t="s">
        <v>303</v>
      </c>
      <c r="I38" s="739"/>
      <c r="J38" s="739"/>
      <c r="K38" s="740"/>
      <c r="L38" s="303">
        <v>1</v>
      </c>
      <c r="M38" s="380">
        <f>IF(L38=0,"-",ROUND(L38*B38/B$71,4))</f>
        <v>0.1956</v>
      </c>
      <c r="AI38" s="395"/>
      <c r="AJ38" s="396" t="s">
        <v>286</v>
      </c>
      <c r="AK38" s="397">
        <v>500000</v>
      </c>
      <c r="AL38" s="410">
        <v>147338.20000000001</v>
      </c>
      <c r="AM38" s="411"/>
      <c r="AN38" s="411">
        <f t="shared" si="2"/>
        <v>29.467640000000003</v>
      </c>
    </row>
    <row r="39" spans="1:40" ht="24" customHeight="1">
      <c r="A39" s="381" t="s">
        <v>137</v>
      </c>
      <c r="B39" s="382"/>
      <c r="C39" s="383"/>
      <c r="D39" s="383"/>
      <c r="E39" s="383"/>
      <c r="F39" s="383"/>
      <c r="G39" s="383"/>
      <c r="H39" s="762" t="s">
        <v>272</v>
      </c>
      <c r="I39" s="763"/>
      <c r="J39" s="763"/>
      <c r="K39" s="764"/>
      <c r="L39" s="384"/>
      <c r="M39" s="385"/>
      <c r="AI39" s="395"/>
      <c r="AJ39" s="396" t="s">
        <v>277</v>
      </c>
      <c r="AK39" s="397">
        <v>500000</v>
      </c>
      <c r="AL39" s="410">
        <v>150000</v>
      </c>
      <c r="AM39" s="411"/>
      <c r="AN39" s="411">
        <f t="shared" si="2"/>
        <v>30</v>
      </c>
    </row>
    <row r="40" spans="1:40" ht="24" customHeight="1">
      <c r="A40" s="381"/>
      <c r="B40" s="382"/>
      <c r="C40" s="383"/>
      <c r="D40" s="383"/>
      <c r="E40" s="383"/>
      <c r="F40" s="383"/>
      <c r="G40" s="383"/>
      <c r="H40" s="589"/>
      <c r="I40" s="589" t="s">
        <v>87</v>
      </c>
      <c r="J40" s="590">
        <v>424550200</v>
      </c>
      <c r="K40" s="573" t="s">
        <v>163</v>
      </c>
      <c r="L40" s="384"/>
      <c r="M40" s="385"/>
      <c r="AI40" s="395"/>
      <c r="AJ40" s="396"/>
      <c r="AK40" s="397" t="e">
        <f>AK20+AK21+AK27+#REF!+AK28+AK29+AK30+AK31+#REF!+AK32+AK33+AK34+AK35+AK36+AK37+AK38+AK39</f>
        <v>#REF!</v>
      </c>
      <c r="AL40" s="410" t="e">
        <f>AL20+AL21+AL27+#REF!+AL28+AL29+AL30+AL31+#REF!+AL32+AL33+AL34+AL35+AL36+AL37+AL38+AL39</f>
        <v>#REF!</v>
      </c>
      <c r="AM40" s="411"/>
      <c r="AN40" s="411" t="e">
        <f>AL40*100/AK40</f>
        <v>#REF!</v>
      </c>
    </row>
    <row r="41" spans="1:40" ht="24" customHeight="1">
      <c r="A41" s="381"/>
      <c r="B41" s="382"/>
      <c r="C41" s="383"/>
      <c r="D41" s="383"/>
      <c r="E41" s="383"/>
      <c r="F41" s="383"/>
      <c r="G41" s="383"/>
      <c r="H41" s="589"/>
      <c r="I41" s="400" t="s">
        <v>195</v>
      </c>
      <c r="J41" s="591">
        <v>322513632</v>
      </c>
      <c r="K41" s="573" t="s">
        <v>163</v>
      </c>
      <c r="L41" s="384"/>
      <c r="M41" s="385"/>
    </row>
    <row r="42" spans="1:40" ht="24" customHeight="1">
      <c r="A42" s="381"/>
      <c r="B42" s="382"/>
      <c r="C42" s="383"/>
      <c r="D42" s="383"/>
      <c r="E42" s="383"/>
      <c r="F42" s="383"/>
      <c r="G42" s="383"/>
      <c r="H42" s="589"/>
      <c r="I42" s="400" t="s">
        <v>196</v>
      </c>
      <c r="J42" s="472">
        <v>60.51</v>
      </c>
      <c r="K42" s="573" t="s">
        <v>51</v>
      </c>
      <c r="L42" s="384"/>
      <c r="M42" s="385"/>
    </row>
    <row r="43" spans="1:40" ht="24" customHeight="1">
      <c r="A43" s="507"/>
      <c r="B43" s="508"/>
      <c r="C43" s="509"/>
      <c r="D43" s="509"/>
      <c r="E43" s="509"/>
      <c r="F43" s="509"/>
      <c r="G43" s="509"/>
      <c r="H43" s="592"/>
      <c r="I43" s="587"/>
      <c r="J43" s="593"/>
      <c r="K43" s="588"/>
      <c r="L43" s="510"/>
      <c r="M43" s="376"/>
    </row>
    <row r="44" spans="1:40" ht="24" customHeight="1">
      <c r="A44" s="379" t="s">
        <v>150</v>
      </c>
      <c r="B44" s="302">
        <v>1.87</v>
      </c>
      <c r="C44" s="405">
        <v>0.6</v>
      </c>
      <c r="D44" s="405">
        <v>0.65</v>
      </c>
      <c r="E44" s="405">
        <v>0.7</v>
      </c>
      <c r="F44" s="405">
        <v>0.75</v>
      </c>
      <c r="G44" s="405">
        <v>0.8</v>
      </c>
      <c r="H44" s="738" t="s">
        <v>222</v>
      </c>
      <c r="I44" s="739"/>
      <c r="J44" s="739"/>
      <c r="K44" s="740"/>
      <c r="L44" s="303">
        <v>5</v>
      </c>
      <c r="M44" s="380">
        <f>IF(L44=0,"-",ROUND(L44*B44/B$71,4))</f>
        <v>0.1118</v>
      </c>
    </row>
    <row r="45" spans="1:40" ht="24" customHeight="1">
      <c r="A45" s="381" t="s">
        <v>151</v>
      </c>
      <c r="B45" s="515"/>
      <c r="C45" s="594"/>
      <c r="D45" s="594"/>
      <c r="E45" s="594"/>
      <c r="F45" s="594"/>
      <c r="G45" s="594"/>
      <c r="H45" s="762" t="s">
        <v>223</v>
      </c>
      <c r="I45" s="763"/>
      <c r="J45" s="763"/>
      <c r="K45" s="764"/>
      <c r="L45" s="384"/>
      <c r="M45" s="385"/>
    </row>
    <row r="46" spans="1:40" ht="24" customHeight="1">
      <c r="A46" s="381" t="s">
        <v>91</v>
      </c>
      <c r="B46" s="382"/>
      <c r="C46" s="383"/>
      <c r="D46" s="383"/>
      <c r="E46" s="383"/>
      <c r="F46" s="383"/>
      <c r="G46" s="383"/>
      <c r="H46" s="762" t="s">
        <v>224</v>
      </c>
      <c r="I46" s="763"/>
      <c r="J46" s="763"/>
      <c r="K46" s="764"/>
      <c r="L46" s="384"/>
      <c r="M46" s="385"/>
    </row>
    <row r="47" spans="1:40" ht="24" customHeight="1">
      <c r="A47" s="381"/>
      <c r="B47" s="382"/>
      <c r="C47" s="383"/>
      <c r="D47" s="383"/>
      <c r="E47" s="383"/>
      <c r="F47" s="383"/>
      <c r="G47" s="383"/>
      <c r="H47" s="577"/>
      <c r="I47" s="400" t="s">
        <v>97</v>
      </c>
      <c r="J47" s="591">
        <v>271</v>
      </c>
      <c r="K47" s="578" t="s">
        <v>96</v>
      </c>
      <c r="L47" s="384"/>
      <c r="M47" s="385"/>
    </row>
    <row r="48" spans="1:40" ht="24" customHeight="1">
      <c r="A48" s="381"/>
      <c r="B48" s="382"/>
      <c r="C48" s="383"/>
      <c r="D48" s="383"/>
      <c r="E48" s="383"/>
      <c r="F48" s="383"/>
      <c r="G48" s="383"/>
      <c r="H48" s="577"/>
      <c r="I48" s="400" t="s">
        <v>98</v>
      </c>
      <c r="J48" s="591">
        <v>271</v>
      </c>
      <c r="K48" s="578" t="s">
        <v>96</v>
      </c>
      <c r="L48" s="384"/>
      <c r="M48" s="385"/>
    </row>
    <row r="49" spans="1:34" ht="24" customHeight="1">
      <c r="A49" s="381"/>
      <c r="B49" s="382"/>
      <c r="C49" s="383"/>
      <c r="D49" s="383"/>
      <c r="E49" s="383"/>
      <c r="F49" s="383"/>
      <c r="G49" s="383"/>
      <c r="H49" s="571"/>
      <c r="I49" s="400" t="s">
        <v>35</v>
      </c>
      <c r="J49" s="486">
        <f>ROUND(J48*100/J47,2)</f>
        <v>100</v>
      </c>
      <c r="K49" s="573" t="s">
        <v>51</v>
      </c>
      <c r="L49" s="384"/>
      <c r="M49" s="385"/>
    </row>
    <row r="50" spans="1:34" ht="24" customHeight="1">
      <c r="A50" s="507"/>
      <c r="B50" s="508"/>
      <c r="C50" s="509"/>
      <c r="D50" s="509"/>
      <c r="E50" s="509"/>
      <c r="F50" s="509"/>
      <c r="G50" s="509"/>
      <c r="H50" s="595"/>
      <c r="I50" s="596"/>
      <c r="J50" s="596"/>
      <c r="K50" s="574"/>
      <c r="L50" s="510"/>
      <c r="M50" s="376"/>
    </row>
    <row r="51" spans="1:34" ht="24" customHeight="1">
      <c r="A51" s="597" t="s">
        <v>152</v>
      </c>
      <c r="B51" s="490">
        <v>5.45</v>
      </c>
      <c r="C51" s="598">
        <v>0.65</v>
      </c>
      <c r="D51" s="598">
        <v>0.7</v>
      </c>
      <c r="E51" s="598">
        <v>0.75</v>
      </c>
      <c r="F51" s="598">
        <v>0.8</v>
      </c>
      <c r="G51" s="598">
        <v>0.85</v>
      </c>
      <c r="H51" s="738" t="s">
        <v>225</v>
      </c>
      <c r="I51" s="739"/>
      <c r="J51" s="739"/>
      <c r="K51" s="740"/>
      <c r="L51" s="303">
        <v>4.7939999999999996</v>
      </c>
      <c r="M51" s="380">
        <f>IF(L51=0,"-",ROUND(L51*B51/B$71,4))</f>
        <v>0.31240000000000001</v>
      </c>
    </row>
    <row r="52" spans="1:34" ht="24" customHeight="1">
      <c r="A52" s="381" t="s">
        <v>153</v>
      </c>
      <c r="B52" s="382"/>
      <c r="C52" s="383"/>
      <c r="D52" s="383"/>
      <c r="E52" s="383"/>
      <c r="F52" s="383"/>
      <c r="G52" s="383"/>
      <c r="H52" s="762" t="s">
        <v>226</v>
      </c>
      <c r="I52" s="763"/>
      <c r="J52" s="763"/>
      <c r="K52" s="764"/>
      <c r="L52" s="384"/>
      <c r="M52" s="385"/>
    </row>
    <row r="53" spans="1:34" ht="24" customHeight="1">
      <c r="A53" s="599" t="s">
        <v>162</v>
      </c>
      <c r="B53" s="382"/>
      <c r="C53" s="383"/>
      <c r="D53" s="383"/>
      <c r="E53" s="383"/>
      <c r="F53" s="383"/>
      <c r="G53" s="383"/>
      <c r="H53" s="577" t="s">
        <v>200</v>
      </c>
      <c r="I53" s="600" t="s">
        <v>113</v>
      </c>
      <c r="J53" s="486">
        <v>83.97</v>
      </c>
      <c r="K53" s="573" t="s">
        <v>51</v>
      </c>
      <c r="L53" s="384"/>
      <c r="M53" s="385"/>
    </row>
    <row r="54" spans="1:34" ht="24" customHeight="1">
      <c r="A54" s="381"/>
      <c r="B54" s="382"/>
      <c r="C54" s="383"/>
      <c r="D54" s="383"/>
      <c r="E54" s="383"/>
      <c r="F54" s="383"/>
      <c r="G54" s="517"/>
      <c r="H54" s="601"/>
      <c r="I54" s="601"/>
      <c r="J54" s="601"/>
      <c r="K54" s="601"/>
      <c r="L54" s="384"/>
      <c r="M54" s="385"/>
    </row>
    <row r="55" spans="1:34" ht="24" customHeight="1">
      <c r="A55" s="379" t="s">
        <v>154</v>
      </c>
      <c r="B55" s="490">
        <v>5.45</v>
      </c>
      <c r="C55" s="496" t="s">
        <v>29</v>
      </c>
      <c r="D55" s="496" t="s">
        <v>30</v>
      </c>
      <c r="E55" s="496" t="s">
        <v>31</v>
      </c>
      <c r="F55" s="496" t="s">
        <v>32</v>
      </c>
      <c r="G55" s="496" t="s">
        <v>33</v>
      </c>
      <c r="H55" s="738" t="s">
        <v>227</v>
      </c>
      <c r="I55" s="739"/>
      <c r="J55" s="739"/>
      <c r="K55" s="740"/>
      <c r="L55" s="303">
        <v>1</v>
      </c>
      <c r="M55" s="380">
        <f>IF(L55=0,"-",ROUND(L55*B55/B$71,4))</f>
        <v>6.5199999999999994E-2</v>
      </c>
      <c r="Q55" s="368" t="s">
        <v>164</v>
      </c>
      <c r="R55" s="368" t="s">
        <v>165</v>
      </c>
      <c r="S55" s="368" t="s">
        <v>166</v>
      </c>
      <c r="T55" s="368" t="s">
        <v>180</v>
      </c>
      <c r="U55" s="368" t="s">
        <v>181</v>
      </c>
      <c r="V55" s="368" t="s">
        <v>278</v>
      </c>
      <c r="W55" s="368" t="s">
        <v>183</v>
      </c>
      <c r="X55" s="368" t="s">
        <v>184</v>
      </c>
      <c r="Y55" s="368" t="s">
        <v>185</v>
      </c>
      <c r="Z55" s="368" t="s">
        <v>186</v>
      </c>
      <c r="AA55" s="368" t="s">
        <v>187</v>
      </c>
      <c r="AB55" s="368" t="s">
        <v>188</v>
      </c>
      <c r="AC55" s="368" t="s">
        <v>189</v>
      </c>
      <c r="AD55" s="368" t="s">
        <v>190</v>
      </c>
      <c r="AE55" s="368" t="s">
        <v>191</v>
      </c>
      <c r="AF55" s="368" t="s">
        <v>192</v>
      </c>
      <c r="AG55" s="368" t="s">
        <v>193</v>
      </c>
      <c r="AH55" s="368" t="s">
        <v>20</v>
      </c>
    </row>
    <row r="56" spans="1:34" ht="24" customHeight="1">
      <c r="A56" s="381" t="s">
        <v>107</v>
      </c>
      <c r="B56" s="382"/>
      <c r="C56" s="497">
        <v>1.5</v>
      </c>
      <c r="D56" s="497">
        <v>2</v>
      </c>
      <c r="E56" s="497">
        <v>2.5</v>
      </c>
      <c r="F56" s="497">
        <v>3</v>
      </c>
      <c r="G56" s="497">
        <v>5</v>
      </c>
      <c r="H56" s="762" t="s">
        <v>228</v>
      </c>
      <c r="I56" s="763"/>
      <c r="J56" s="763"/>
      <c r="K56" s="764"/>
      <c r="L56" s="384"/>
      <c r="M56" s="385"/>
      <c r="Q56" s="368">
        <v>82</v>
      </c>
      <c r="R56" s="368">
        <v>100</v>
      </c>
      <c r="S56" s="368">
        <v>0</v>
      </c>
      <c r="T56" s="368">
        <v>82</v>
      </c>
      <c r="U56" s="368">
        <v>72</v>
      </c>
      <c r="V56" s="368">
        <v>81</v>
      </c>
      <c r="W56" s="368">
        <v>95</v>
      </c>
      <c r="X56" s="368">
        <v>72</v>
      </c>
      <c r="Y56" s="368">
        <v>80</v>
      </c>
      <c r="Z56" s="368">
        <v>76</v>
      </c>
      <c r="AA56" s="368">
        <v>76</v>
      </c>
      <c r="AB56" s="368">
        <v>86</v>
      </c>
      <c r="AC56" s="368">
        <v>76</v>
      </c>
      <c r="AD56" s="368">
        <v>70</v>
      </c>
      <c r="AE56" s="368">
        <v>100</v>
      </c>
      <c r="AF56" s="368">
        <v>72</v>
      </c>
      <c r="AG56" s="368">
        <v>95</v>
      </c>
      <c r="AH56" s="404">
        <f>(Q56+R56+S56+T56+U56+V56+W56+X56+Y56+Z56+AA56+AB56+AC56+AD56+AE56+AF56+AG56)/17</f>
        <v>77.352941176470594</v>
      </c>
    </row>
    <row r="57" spans="1:34" ht="24" customHeight="1">
      <c r="A57" s="381" t="s">
        <v>310</v>
      </c>
      <c r="B57" s="382"/>
      <c r="C57" s="517"/>
      <c r="D57" s="517"/>
      <c r="E57" s="517"/>
      <c r="F57" s="517"/>
      <c r="G57" s="517"/>
      <c r="H57" s="762" t="s">
        <v>213</v>
      </c>
      <c r="I57" s="763"/>
      <c r="J57" s="763"/>
      <c r="K57" s="764"/>
      <c r="L57" s="384"/>
      <c r="M57" s="385"/>
    </row>
    <row r="58" spans="1:34" ht="24" customHeight="1">
      <c r="A58" s="381"/>
      <c r="B58" s="382"/>
      <c r="C58" s="517"/>
      <c r="D58" s="517"/>
      <c r="E58" s="517"/>
      <c r="F58" s="517"/>
      <c r="G58" s="517"/>
      <c r="H58" s="571"/>
      <c r="I58" s="400" t="s">
        <v>112</v>
      </c>
      <c r="J58" s="472" t="s">
        <v>11</v>
      </c>
      <c r="K58" s="578"/>
      <c r="L58" s="384"/>
      <c r="M58" s="385"/>
      <c r="P58" s="305"/>
    </row>
    <row r="59" spans="1:34" ht="24" customHeight="1">
      <c r="A59" s="507"/>
      <c r="B59" s="508"/>
      <c r="C59" s="509"/>
      <c r="D59" s="509"/>
      <c r="E59" s="509"/>
      <c r="F59" s="509"/>
      <c r="G59" s="509"/>
      <c r="H59" s="511"/>
      <c r="I59" s="587"/>
      <c r="J59" s="587"/>
      <c r="K59" s="588"/>
      <c r="L59" s="510"/>
      <c r="M59" s="376"/>
    </row>
    <row r="60" spans="1:34" ht="24" customHeight="1">
      <c r="A60" s="602" t="s">
        <v>155</v>
      </c>
      <c r="B60" s="490">
        <v>5.45</v>
      </c>
      <c r="C60" s="598">
        <v>0.1</v>
      </c>
      <c r="D60" s="598">
        <v>0.3</v>
      </c>
      <c r="E60" s="598">
        <v>0.5</v>
      </c>
      <c r="F60" s="598">
        <v>0.7</v>
      </c>
      <c r="G60" s="598">
        <v>1</v>
      </c>
      <c r="H60" s="738" t="s">
        <v>364</v>
      </c>
      <c r="I60" s="739"/>
      <c r="J60" s="739"/>
      <c r="K60" s="740"/>
      <c r="L60" s="303">
        <f>ROUND(4+((J63-70)*1/30),4)</f>
        <v>4.5999999999999996</v>
      </c>
      <c r="M60" s="380">
        <f>IF(L60=0,"-",ROUND(L60*B60/B$71,4))</f>
        <v>0.29970000000000002</v>
      </c>
      <c r="R60" s="413"/>
    </row>
    <row r="61" spans="1:34" ht="24" customHeight="1">
      <c r="A61" s="603" t="s">
        <v>197</v>
      </c>
      <c r="B61" s="604"/>
      <c r="C61" s="383"/>
      <c r="D61" s="383"/>
      <c r="E61" s="383"/>
      <c r="F61" s="383"/>
      <c r="G61" s="406"/>
      <c r="H61" s="571" t="s">
        <v>317</v>
      </c>
      <c r="I61" s="501"/>
      <c r="J61" s="581"/>
      <c r="K61" s="582"/>
      <c r="L61" s="518"/>
      <c r="M61" s="385"/>
    </row>
    <row r="62" spans="1:34" ht="24" customHeight="1">
      <c r="A62" s="381" t="s">
        <v>310</v>
      </c>
      <c r="B62" s="604"/>
      <c r="C62" s="383"/>
      <c r="D62" s="383"/>
      <c r="E62" s="383"/>
      <c r="F62" s="383"/>
      <c r="G62" s="383"/>
      <c r="H62" s="572" t="s">
        <v>231</v>
      </c>
      <c r="I62" s="501"/>
      <c r="J62" s="581"/>
      <c r="K62" s="582"/>
      <c r="L62" s="518"/>
      <c r="M62" s="385"/>
      <c r="O62" s="375"/>
      <c r="P62" s="375"/>
      <c r="Q62" s="375"/>
      <c r="R62" s="375"/>
      <c r="S62" s="375"/>
      <c r="T62" s="375"/>
      <c r="U62" s="375"/>
      <c r="V62" s="375"/>
      <c r="W62" s="375"/>
      <c r="X62" s="375"/>
      <c r="Y62" s="375"/>
      <c r="Z62" s="375"/>
      <c r="AA62" s="375"/>
      <c r="AB62" s="375"/>
      <c r="AC62" s="375"/>
      <c r="AD62" s="375"/>
      <c r="AE62" s="375"/>
      <c r="AF62" s="375"/>
    </row>
    <row r="63" spans="1:34" ht="24" customHeight="1">
      <c r="A63" s="603"/>
      <c r="B63" s="604"/>
      <c r="C63" s="383"/>
      <c r="D63" s="383"/>
      <c r="E63" s="383"/>
      <c r="F63" s="383"/>
      <c r="G63" s="383"/>
      <c r="H63" s="571"/>
      <c r="I63" s="400" t="s">
        <v>114</v>
      </c>
      <c r="J63" s="545">
        <v>88</v>
      </c>
      <c r="K63" s="573" t="s">
        <v>51</v>
      </c>
      <c r="L63" s="518"/>
      <c r="M63" s="385"/>
      <c r="O63" s="414"/>
      <c r="P63" s="414"/>
      <c r="Q63" s="414"/>
      <c r="R63" s="414"/>
      <c r="S63" s="414"/>
      <c r="T63" s="414"/>
      <c r="U63" s="414"/>
      <c r="V63" s="414"/>
      <c r="W63" s="414"/>
      <c r="X63" s="414"/>
      <c r="Y63" s="414"/>
      <c r="Z63" s="414"/>
      <c r="AA63" s="414"/>
      <c r="AB63" s="414"/>
      <c r="AC63" s="414"/>
      <c r="AD63" s="414"/>
      <c r="AE63" s="414"/>
      <c r="AF63" s="414"/>
    </row>
    <row r="64" spans="1:34" ht="24" customHeight="1">
      <c r="A64" s="605"/>
      <c r="B64" s="606"/>
      <c r="C64" s="509"/>
      <c r="D64" s="509"/>
      <c r="E64" s="509"/>
      <c r="F64" s="509"/>
      <c r="G64" s="509"/>
      <c r="H64" s="512"/>
      <c r="I64" s="587"/>
      <c r="J64" s="587"/>
      <c r="K64" s="588"/>
      <c r="L64" s="607"/>
      <c r="M64" s="376"/>
      <c r="O64" s="414"/>
      <c r="P64" s="414"/>
      <c r="Q64" s="414"/>
      <c r="R64" s="414"/>
      <c r="S64" s="414"/>
      <c r="T64" s="414"/>
      <c r="U64" s="414"/>
      <c r="V64" s="414"/>
      <c r="W64" s="414"/>
      <c r="X64" s="414"/>
      <c r="Y64" s="414"/>
      <c r="Z64" s="414"/>
      <c r="AA64" s="414"/>
      <c r="AB64" s="414"/>
      <c r="AC64" s="414"/>
      <c r="AD64" s="414"/>
      <c r="AE64" s="414"/>
      <c r="AF64" s="414"/>
    </row>
    <row r="65" spans="1:32" ht="24" customHeight="1">
      <c r="A65" s="379" t="s">
        <v>156</v>
      </c>
      <c r="B65" s="490">
        <v>5.45</v>
      </c>
      <c r="C65" s="498">
        <v>0.8</v>
      </c>
      <c r="D65" s="498">
        <v>0.85</v>
      </c>
      <c r="E65" s="498">
        <v>0.9</v>
      </c>
      <c r="F65" s="498">
        <v>0.95</v>
      </c>
      <c r="G65" s="498">
        <v>1</v>
      </c>
      <c r="H65" s="738" t="s">
        <v>304</v>
      </c>
      <c r="I65" s="739"/>
      <c r="J65" s="739"/>
      <c r="K65" s="740"/>
      <c r="L65" s="303">
        <f>ROUND(4+((J69-95)*1/5),4)</f>
        <v>4.8559999999999999</v>
      </c>
      <c r="M65" s="380">
        <f>IF(L65=0,"-",ROUND(L65*B65/B$71,4))</f>
        <v>0.31640000000000001</v>
      </c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414"/>
      <c r="AC65" s="414"/>
      <c r="AD65" s="414"/>
      <c r="AE65" s="414"/>
      <c r="AF65" s="414"/>
    </row>
    <row r="66" spans="1:32" ht="24" customHeight="1">
      <c r="A66" s="381" t="s">
        <v>116</v>
      </c>
      <c r="B66" s="382"/>
      <c r="C66" s="497"/>
      <c r="D66" s="497"/>
      <c r="E66" s="497"/>
      <c r="F66" s="497"/>
      <c r="G66" s="497"/>
      <c r="H66" s="762" t="s">
        <v>305</v>
      </c>
      <c r="I66" s="763"/>
      <c r="J66" s="763"/>
      <c r="K66" s="764"/>
      <c r="L66" s="384"/>
      <c r="M66" s="385"/>
      <c r="O66" s="414"/>
      <c r="P66" s="414"/>
      <c r="Q66" s="414"/>
      <c r="R66" s="414"/>
      <c r="S66" s="414"/>
      <c r="T66" s="414"/>
      <c r="U66" s="414"/>
      <c r="V66" s="414"/>
      <c r="W66" s="414"/>
      <c r="X66" s="414"/>
      <c r="Y66" s="414"/>
      <c r="Z66" s="414"/>
      <c r="AA66" s="414"/>
      <c r="AB66" s="414"/>
      <c r="AC66" s="414"/>
      <c r="AD66" s="414"/>
      <c r="AE66" s="414"/>
      <c r="AF66" s="414"/>
    </row>
    <row r="67" spans="1:32" ht="24" customHeight="1">
      <c r="A67" s="381" t="s">
        <v>310</v>
      </c>
      <c r="B67" s="382"/>
      <c r="C67" s="383"/>
      <c r="D67" s="383"/>
      <c r="E67" s="383"/>
      <c r="F67" s="383"/>
      <c r="G67" s="383"/>
      <c r="H67" s="762" t="s">
        <v>306</v>
      </c>
      <c r="I67" s="763"/>
      <c r="J67" s="763"/>
      <c r="K67" s="764"/>
      <c r="L67" s="384"/>
      <c r="M67" s="385"/>
      <c r="O67" s="414"/>
      <c r="P67" s="414"/>
      <c r="Q67" s="414"/>
      <c r="R67" s="414"/>
      <c r="S67" s="414"/>
      <c r="T67" s="414"/>
      <c r="U67" s="414"/>
      <c r="V67" s="422"/>
      <c r="W67" s="414"/>
      <c r="X67" s="414"/>
      <c r="Y67" s="414"/>
      <c r="Z67" s="414"/>
      <c r="AA67" s="414"/>
      <c r="AB67" s="414"/>
      <c r="AC67" s="414"/>
      <c r="AD67" s="414"/>
      <c r="AE67" s="414"/>
      <c r="AF67" s="414"/>
    </row>
    <row r="68" spans="1:32" ht="24" customHeight="1">
      <c r="A68" s="381"/>
      <c r="B68" s="382"/>
      <c r="C68" s="383"/>
      <c r="D68" s="383"/>
      <c r="E68" s="383"/>
      <c r="F68" s="383"/>
      <c r="G68" s="383"/>
      <c r="H68" s="571" t="s">
        <v>307</v>
      </c>
      <c r="I68" s="572"/>
      <c r="J68" s="572"/>
      <c r="K68" s="573"/>
      <c r="L68" s="384"/>
      <c r="M68" s="385"/>
    </row>
    <row r="69" spans="1:32" ht="24" customHeight="1">
      <c r="A69" s="381"/>
      <c r="B69" s="382"/>
      <c r="C69" s="383"/>
      <c r="D69" s="383"/>
      <c r="E69" s="383"/>
      <c r="F69" s="383"/>
      <c r="G69" s="383"/>
      <c r="H69" s="571"/>
      <c r="I69" s="400" t="s">
        <v>114</v>
      </c>
      <c r="J69" s="545">
        <v>99.28</v>
      </c>
      <c r="K69" s="578" t="s">
        <v>51</v>
      </c>
      <c r="L69" s="384"/>
      <c r="M69" s="385"/>
    </row>
    <row r="70" spans="1:32" ht="24" customHeight="1">
      <c r="A70" s="381"/>
      <c r="B70" s="608"/>
      <c r="C70" s="383"/>
      <c r="D70" s="383"/>
      <c r="E70" s="383"/>
      <c r="F70" s="383"/>
      <c r="G70" s="517"/>
      <c r="H70" s="571"/>
      <c r="I70" s="601"/>
      <c r="J70" s="600"/>
      <c r="K70" s="578"/>
      <c r="L70" s="384"/>
      <c r="M70" s="385"/>
    </row>
    <row r="71" spans="1:32" ht="24" customHeight="1">
      <c r="A71" s="415"/>
      <c r="B71" s="416">
        <f>SUM(B6:B70)</f>
        <v>83.640000000000015</v>
      </c>
      <c r="C71" s="417"/>
      <c r="D71" s="417"/>
      <c r="E71" s="417"/>
      <c r="F71" s="417"/>
      <c r="G71" s="418"/>
      <c r="H71" s="417"/>
      <c r="I71" s="417"/>
      <c r="J71" s="417"/>
      <c r="K71" s="417"/>
      <c r="L71" s="419" t="s">
        <v>140</v>
      </c>
      <c r="M71" s="420">
        <f>SUM(M6:M70)</f>
        <v>3.6227999999999998</v>
      </c>
    </row>
    <row r="72" spans="1:32" ht="24" customHeight="1"/>
    <row r="73" spans="1:32" ht="24" customHeight="1">
      <c r="A73" s="423"/>
    </row>
    <row r="74" spans="1:32" ht="24" customHeight="1"/>
    <row r="75" spans="1:32" ht="24" customHeight="1"/>
  </sheetData>
  <mergeCells count="41"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1:K11"/>
    <mergeCell ref="H12:K12"/>
    <mergeCell ref="H14:K14"/>
    <mergeCell ref="H27:K27"/>
    <mergeCell ref="H28:K28"/>
    <mergeCell ref="H29:K29"/>
    <mergeCell ref="H33:K33"/>
    <mergeCell ref="H17:K17"/>
    <mergeCell ref="H18:K18"/>
    <mergeCell ref="H19:K19"/>
    <mergeCell ref="H22:K22"/>
    <mergeCell ref="H23:K23"/>
    <mergeCell ref="H24:K24"/>
    <mergeCell ref="H66:K66"/>
    <mergeCell ref="H67:K67"/>
    <mergeCell ref="H46:K46"/>
    <mergeCell ref="H51:K51"/>
    <mergeCell ref="H52:K52"/>
    <mergeCell ref="H55:K55"/>
    <mergeCell ref="H56:K56"/>
    <mergeCell ref="H57:K57"/>
    <mergeCell ref="AI26:AJ26"/>
    <mergeCell ref="H60:K60"/>
    <mergeCell ref="H65:K65"/>
    <mergeCell ref="H45:K45"/>
    <mergeCell ref="H34:K34"/>
    <mergeCell ref="H35:K35"/>
    <mergeCell ref="H37:K37"/>
    <mergeCell ref="H38:K38"/>
    <mergeCell ref="H39:K39"/>
    <mergeCell ref="H44:K44"/>
  </mergeCells>
  <printOptions horizontalCentered="1"/>
  <pageMargins left="0.196850393700787" right="0.196850393700787" top="0.55118110236220497" bottom="0.27559055118110198" header="0.196850393700787" footer="0.47244094488188998"/>
  <pageSetup paperSize="9" scale="65" orientation="landscape" r:id="rId1"/>
  <headerFooter scaleWithDoc="0">
    <oddHeader>&amp;R&amp;"TH SarabunPSK,Regular"&amp;16&amp;P</oddHeader>
  </headerFooter>
  <rowBreaks count="2" manualBreakCount="2">
    <brk id="26" max="12" man="1"/>
    <brk id="50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94"/>
  <sheetViews>
    <sheetView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/>
  <cols>
    <col min="1" max="1" width="38" style="31" customWidth="1"/>
    <col min="2" max="2" width="10.140625" style="31" bestFit="1" customWidth="1"/>
    <col min="3" max="3" width="10.140625" style="31" customWidth="1"/>
    <col min="4" max="4" width="10.28515625" style="31" customWidth="1"/>
    <col min="5" max="7" width="10.7109375" style="31" customWidth="1"/>
    <col min="8" max="9" width="9.85546875" style="31" customWidth="1"/>
    <col min="10" max="10" width="13.140625" style="31" customWidth="1"/>
    <col min="11" max="11" width="27.28515625" style="31" customWidth="1"/>
    <col min="12" max="12" width="11.5703125" style="31" customWidth="1"/>
    <col min="13" max="13" width="11.140625" style="31" customWidth="1"/>
    <col min="14" max="16384" width="9.140625" style="31"/>
  </cols>
  <sheetData>
    <row r="1" spans="1:16" ht="27.75">
      <c r="A1" s="659" t="s">
        <v>0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</row>
    <row r="2" spans="1:16" ht="27.75">
      <c r="A2" s="659" t="s">
        <v>45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</row>
    <row r="3" spans="1:16" ht="26.25" customHeight="1">
      <c r="A3" s="79" t="s">
        <v>130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 t="s">
        <v>37</v>
      </c>
    </row>
    <row r="4" spans="1:16" s="34" customFormat="1" ht="24.75" customHeight="1">
      <c r="A4" s="32" t="s">
        <v>1</v>
      </c>
      <c r="B4" s="32" t="s">
        <v>2</v>
      </c>
      <c r="C4" s="661" t="s">
        <v>3</v>
      </c>
      <c r="D4" s="661"/>
      <c r="E4" s="661"/>
      <c r="F4" s="661"/>
      <c r="G4" s="661"/>
      <c r="H4" s="662" t="s">
        <v>4</v>
      </c>
      <c r="I4" s="663"/>
      <c r="J4" s="663"/>
      <c r="K4" s="664"/>
      <c r="L4" s="668" t="s">
        <v>5</v>
      </c>
      <c r="M4" s="33" t="s">
        <v>6</v>
      </c>
    </row>
    <row r="5" spans="1:16" s="34" customFormat="1" ht="24.75" customHeight="1">
      <c r="A5" s="35" t="s">
        <v>7</v>
      </c>
      <c r="B5" s="35" t="s">
        <v>8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665"/>
      <c r="I5" s="666"/>
      <c r="J5" s="666"/>
      <c r="K5" s="667"/>
      <c r="L5" s="668"/>
      <c r="M5" s="37" t="s">
        <v>9</v>
      </c>
    </row>
    <row r="6" spans="1:16" ht="23.25" customHeight="1">
      <c r="A6" s="38" t="s">
        <v>10</v>
      </c>
      <c r="B6" s="109">
        <v>10</v>
      </c>
      <c r="C6" s="2">
        <v>0.6</v>
      </c>
      <c r="D6" s="2">
        <v>0.7</v>
      </c>
      <c r="E6" s="2">
        <v>0.8</v>
      </c>
      <c r="F6" s="2">
        <v>0.9</v>
      </c>
      <c r="G6" s="2">
        <v>1</v>
      </c>
      <c r="H6" s="83" t="s">
        <v>128</v>
      </c>
      <c r="I6" s="68"/>
      <c r="J6" s="68"/>
      <c r="K6" s="69"/>
      <c r="L6" s="114">
        <f>'[1]7 เดือน'!$L$6</f>
        <v>2.3549999999999995</v>
      </c>
      <c r="M6" s="61">
        <f>IF(L6=0,"-",L6*B6/B$94)</f>
        <v>0.23549999999999996</v>
      </c>
    </row>
    <row r="7" spans="1:16" ht="23.25" customHeight="1">
      <c r="A7" s="39" t="s">
        <v>12</v>
      </c>
      <c r="B7" s="3"/>
      <c r="C7" s="4"/>
      <c r="D7" s="4"/>
      <c r="E7" s="4"/>
      <c r="F7" s="4"/>
      <c r="G7" s="4"/>
      <c r="H7" s="84" t="s">
        <v>40</v>
      </c>
      <c r="I7" s="70"/>
      <c r="J7" s="113">
        <f>'[1]7 เดือน'!$J$7</f>
        <v>73.55</v>
      </c>
      <c r="K7" s="71" t="s">
        <v>51</v>
      </c>
      <c r="L7" s="115"/>
      <c r="M7" s="62"/>
    </row>
    <row r="8" spans="1:16" ht="23.25" customHeight="1">
      <c r="A8" s="40"/>
      <c r="B8" s="5"/>
      <c r="C8" s="6"/>
      <c r="D8" s="6"/>
      <c r="E8" s="6"/>
      <c r="F8" s="6"/>
      <c r="G8" s="6"/>
      <c r="H8" s="28"/>
      <c r="I8" s="70"/>
      <c r="J8" s="70"/>
      <c r="K8" s="78"/>
      <c r="L8" s="115"/>
      <c r="M8" s="62"/>
    </row>
    <row r="9" spans="1:16" ht="23.25" customHeight="1">
      <c r="A9" s="38" t="s">
        <v>13</v>
      </c>
      <c r="B9" s="109">
        <v>10</v>
      </c>
      <c r="C9" s="7">
        <v>8304</v>
      </c>
      <c r="D9" s="8">
        <v>11418</v>
      </c>
      <c r="E9" s="8">
        <v>14532</v>
      </c>
      <c r="F9" s="8">
        <v>17646</v>
      </c>
      <c r="G9" s="8">
        <v>20760</v>
      </c>
      <c r="H9" s="652" t="s">
        <v>14</v>
      </c>
      <c r="I9" s="653"/>
      <c r="J9" s="654" t="s">
        <v>15</v>
      </c>
      <c r="K9" s="654"/>
      <c r="L9" s="114">
        <f>'[1]6 เดือน'!$L$9</f>
        <v>1</v>
      </c>
      <c r="M9" s="61">
        <f>IF(L9=0,"-",L9*B9/B$94)</f>
        <v>0.1</v>
      </c>
      <c r="O9" s="41"/>
      <c r="P9" s="42"/>
    </row>
    <row r="10" spans="1:16" ht="23.25" customHeight="1">
      <c r="A10" s="40" t="s">
        <v>16</v>
      </c>
      <c r="B10" s="3"/>
      <c r="C10" s="9" t="s">
        <v>38</v>
      </c>
      <c r="D10" s="9" t="s">
        <v>38</v>
      </c>
      <c r="E10" s="9" t="s">
        <v>39</v>
      </c>
      <c r="F10" s="9" t="s">
        <v>38</v>
      </c>
      <c r="G10" s="9" t="s">
        <v>38</v>
      </c>
      <c r="H10" s="652"/>
      <c r="I10" s="653"/>
      <c r="J10" s="72" t="s">
        <v>17</v>
      </c>
      <c r="K10" s="72" t="s">
        <v>18</v>
      </c>
      <c r="L10" s="115"/>
      <c r="M10" s="62"/>
      <c r="O10" s="41"/>
      <c r="P10" s="43"/>
    </row>
    <row r="11" spans="1:16" ht="23.25" customHeight="1">
      <c r="A11" s="40"/>
      <c r="B11" s="3"/>
      <c r="C11" s="10"/>
      <c r="D11" s="10"/>
      <c r="E11" s="10"/>
      <c r="F11" s="10"/>
      <c r="G11" s="10"/>
      <c r="H11" s="655" t="s">
        <v>19</v>
      </c>
      <c r="I11" s="656"/>
      <c r="J11" s="73">
        <v>19000</v>
      </c>
      <c r="K11" s="64">
        <v>5000</v>
      </c>
      <c r="L11" s="115"/>
      <c r="M11" s="62"/>
    </row>
    <row r="12" spans="1:16" ht="23.25" customHeight="1">
      <c r="A12" s="40"/>
      <c r="B12" s="5"/>
      <c r="C12" s="11"/>
      <c r="D12" s="12"/>
      <c r="E12" s="12"/>
      <c r="F12" s="12"/>
      <c r="G12" s="12"/>
      <c r="H12" s="83" t="s">
        <v>41</v>
      </c>
      <c r="I12" s="85"/>
      <c r="J12" s="74">
        <v>1760</v>
      </c>
      <c r="K12" s="65" t="s">
        <v>11</v>
      </c>
      <c r="L12" s="115"/>
      <c r="M12" s="62"/>
    </row>
    <row r="13" spans="1:16" ht="23.25" customHeight="1">
      <c r="A13" s="40"/>
      <c r="B13" s="5"/>
      <c r="C13" s="12"/>
      <c r="D13" s="12"/>
      <c r="E13" s="12"/>
      <c r="F13" s="12"/>
      <c r="G13" s="12"/>
      <c r="H13" s="657" t="s">
        <v>42</v>
      </c>
      <c r="I13" s="658"/>
      <c r="J13" s="86"/>
      <c r="K13" s="87"/>
      <c r="L13" s="115"/>
      <c r="M13" s="62"/>
    </row>
    <row r="14" spans="1:16" ht="23.25" customHeight="1">
      <c r="A14" s="40"/>
      <c r="B14" s="5"/>
      <c r="C14" s="12"/>
      <c r="D14" s="12"/>
      <c r="E14" s="12"/>
      <c r="F14" s="12"/>
      <c r="G14" s="12"/>
      <c r="H14" s="669" t="s">
        <v>43</v>
      </c>
      <c r="I14" s="670"/>
      <c r="J14" s="88"/>
      <c r="K14" s="89"/>
      <c r="L14" s="115"/>
      <c r="M14" s="62"/>
    </row>
    <row r="15" spans="1:16" ht="23.25" customHeight="1" thickBot="1">
      <c r="A15" s="40"/>
      <c r="B15" s="5"/>
      <c r="C15" s="12"/>
      <c r="D15" s="12"/>
      <c r="E15" s="12"/>
      <c r="F15" s="12"/>
      <c r="G15" s="12"/>
      <c r="H15" s="671" t="s">
        <v>20</v>
      </c>
      <c r="I15" s="671"/>
      <c r="J15" s="90">
        <f>SUM(J11:J12)</f>
        <v>20760</v>
      </c>
      <c r="K15" s="91">
        <f>SUM(K11:K12)</f>
        <v>5000</v>
      </c>
      <c r="L15" s="115"/>
      <c r="M15" s="62"/>
    </row>
    <row r="16" spans="1:16" ht="23.25" customHeight="1" thickTop="1">
      <c r="A16" s="40"/>
      <c r="B16" s="5"/>
      <c r="C16" s="12"/>
      <c r="D16" s="12"/>
      <c r="E16" s="12"/>
      <c r="F16" s="12"/>
      <c r="G16" s="12"/>
      <c r="H16" s="3"/>
      <c r="I16" s="92"/>
      <c r="J16" s="93"/>
      <c r="K16" s="94"/>
      <c r="L16" s="115"/>
      <c r="M16" s="62"/>
    </row>
    <row r="17" spans="1:13" ht="23.25" customHeight="1">
      <c r="A17" s="38" t="s">
        <v>52</v>
      </c>
      <c r="B17" s="109">
        <v>5</v>
      </c>
      <c r="C17" s="13">
        <v>0.65</v>
      </c>
      <c r="D17" s="13">
        <v>0.7</v>
      </c>
      <c r="E17" s="13">
        <v>0.75</v>
      </c>
      <c r="F17" s="13">
        <v>0.8</v>
      </c>
      <c r="G17" s="13">
        <v>0.85</v>
      </c>
      <c r="H17" s="675" t="s">
        <v>46</v>
      </c>
      <c r="I17" s="672"/>
      <c r="J17" s="672"/>
      <c r="K17" s="673"/>
      <c r="L17" s="114">
        <f>'[1]6 เดือน'!$L$17</f>
        <v>1</v>
      </c>
      <c r="M17" s="61">
        <f>IF(L17=0,"-",L17*B17/B$94)</f>
        <v>0.05</v>
      </c>
    </row>
    <row r="18" spans="1:13" ht="23.25" customHeight="1">
      <c r="A18" s="40" t="s">
        <v>44</v>
      </c>
      <c r="B18" s="5"/>
      <c r="C18" s="12"/>
      <c r="D18" s="12"/>
      <c r="E18" s="12"/>
      <c r="F18" s="12"/>
      <c r="G18" s="12"/>
      <c r="H18" s="657" t="s">
        <v>47</v>
      </c>
      <c r="I18" s="674"/>
      <c r="J18" s="674"/>
      <c r="K18" s="658"/>
      <c r="L18" s="115"/>
      <c r="M18" s="62"/>
    </row>
    <row r="19" spans="1:13" ht="23.25" customHeight="1">
      <c r="A19" s="44"/>
      <c r="B19" s="5"/>
      <c r="C19" s="12"/>
      <c r="D19" s="12"/>
      <c r="E19" s="12"/>
      <c r="F19" s="12"/>
      <c r="G19" s="12"/>
      <c r="H19" s="657" t="s">
        <v>48</v>
      </c>
      <c r="I19" s="674"/>
      <c r="J19" s="674"/>
      <c r="K19" s="658"/>
      <c r="L19" s="115"/>
      <c r="M19" s="62"/>
    </row>
    <row r="20" spans="1:13" ht="23.25" customHeight="1">
      <c r="A20" s="44"/>
      <c r="B20" s="5"/>
      <c r="C20" s="12"/>
      <c r="D20" s="12"/>
      <c r="E20" s="12"/>
      <c r="F20" s="12"/>
      <c r="G20" s="12"/>
      <c r="H20" s="657" t="s">
        <v>49</v>
      </c>
      <c r="I20" s="674"/>
      <c r="J20" s="674"/>
      <c r="K20" s="658"/>
      <c r="L20" s="115"/>
      <c r="M20" s="62"/>
    </row>
    <row r="21" spans="1:13" ht="23.25" customHeight="1">
      <c r="A21" s="44"/>
      <c r="B21" s="5"/>
      <c r="C21" s="12"/>
      <c r="D21" s="12"/>
      <c r="E21" s="12"/>
      <c r="F21" s="12"/>
      <c r="G21" s="12"/>
      <c r="H21" s="657" t="s">
        <v>50</v>
      </c>
      <c r="I21" s="674"/>
      <c r="J21" s="674"/>
      <c r="K21" s="658"/>
      <c r="L21" s="115"/>
      <c r="M21" s="62"/>
    </row>
    <row r="22" spans="1:13" ht="23.25" customHeight="1">
      <c r="A22" s="44"/>
      <c r="B22" s="5"/>
      <c r="C22" s="12"/>
      <c r="D22" s="12"/>
      <c r="E22" s="12"/>
      <c r="F22" s="12"/>
      <c r="G22" s="12"/>
      <c r="H22" s="95"/>
      <c r="I22" s="51" t="s">
        <v>54</v>
      </c>
      <c r="J22" s="111" t="e">
        <f>'[1]6 เดือน'!$J$22</f>
        <v>#REF!</v>
      </c>
      <c r="K22" s="76" t="s">
        <v>51</v>
      </c>
      <c r="L22" s="115"/>
      <c r="M22" s="62"/>
    </row>
    <row r="23" spans="1:13" ht="23.25" customHeight="1">
      <c r="A23" s="45"/>
      <c r="B23" s="14"/>
      <c r="C23" s="6"/>
      <c r="D23" s="6"/>
      <c r="E23" s="6"/>
      <c r="F23" s="6"/>
      <c r="G23" s="6"/>
      <c r="H23" s="676"/>
      <c r="I23" s="677"/>
      <c r="J23" s="677"/>
      <c r="K23" s="678"/>
      <c r="L23" s="116"/>
      <c r="M23" s="63"/>
    </row>
    <row r="24" spans="1:13" ht="23.25" customHeight="1">
      <c r="A24" s="38" t="s">
        <v>53</v>
      </c>
      <c r="B24" s="109">
        <v>10</v>
      </c>
      <c r="C24" s="13">
        <v>0.73</v>
      </c>
      <c r="D24" s="13">
        <v>0.76</v>
      </c>
      <c r="E24" s="13">
        <v>0.79</v>
      </c>
      <c r="F24" s="13">
        <v>0.82</v>
      </c>
      <c r="G24" s="13">
        <v>0.85</v>
      </c>
      <c r="H24" s="672" t="s">
        <v>82</v>
      </c>
      <c r="I24" s="672"/>
      <c r="J24" s="672"/>
      <c r="K24" s="673"/>
      <c r="L24" s="114">
        <f>'[1]6 เดือน'!$L$24</f>
        <v>1</v>
      </c>
      <c r="M24" s="61">
        <f>IF(L24=0,"-",L24*B24/B$94)</f>
        <v>0.1</v>
      </c>
    </row>
    <row r="25" spans="1:13" ht="23.25" customHeight="1">
      <c r="A25" s="40" t="s">
        <v>21</v>
      </c>
      <c r="B25" s="5"/>
      <c r="C25" s="12"/>
      <c r="D25" s="12"/>
      <c r="E25" s="12"/>
      <c r="F25" s="12"/>
      <c r="G25" s="12"/>
      <c r="H25" s="657" t="s">
        <v>83</v>
      </c>
      <c r="I25" s="674"/>
      <c r="J25" s="674"/>
      <c r="K25" s="658"/>
      <c r="L25" s="115"/>
      <c r="M25" s="62"/>
    </row>
    <row r="26" spans="1:13" ht="23.25" customHeight="1">
      <c r="A26" s="46"/>
      <c r="B26" s="5"/>
      <c r="C26" s="12"/>
      <c r="D26" s="12"/>
      <c r="E26" s="12"/>
      <c r="F26" s="12"/>
      <c r="G26" s="12"/>
      <c r="H26" s="657" t="s">
        <v>55</v>
      </c>
      <c r="I26" s="674"/>
      <c r="J26" s="674"/>
      <c r="K26" s="658"/>
      <c r="L26" s="115"/>
      <c r="M26" s="62"/>
    </row>
    <row r="27" spans="1:13" ht="23.25" customHeight="1">
      <c r="A27" s="46"/>
      <c r="B27" s="5"/>
      <c r="C27" s="12"/>
      <c r="D27" s="12"/>
      <c r="E27" s="12"/>
      <c r="F27" s="12"/>
      <c r="G27" s="12"/>
      <c r="H27" s="47"/>
      <c r="I27" s="48" t="s">
        <v>56</v>
      </c>
      <c r="J27" s="111">
        <v>29.4</v>
      </c>
      <c r="K27" s="76" t="s">
        <v>51</v>
      </c>
      <c r="L27" s="115"/>
      <c r="M27" s="62"/>
    </row>
    <row r="28" spans="1:13" ht="23.25" customHeight="1">
      <c r="A28" s="49"/>
      <c r="B28" s="14"/>
      <c r="C28" s="6"/>
      <c r="D28" s="6"/>
      <c r="E28" s="6"/>
      <c r="F28" s="6"/>
      <c r="G28" s="6"/>
      <c r="H28" s="96"/>
      <c r="I28" s="97"/>
      <c r="J28" s="97"/>
      <c r="K28" s="98"/>
      <c r="L28" s="116"/>
      <c r="M28" s="63"/>
    </row>
    <row r="29" spans="1:13" ht="24.75" customHeight="1">
      <c r="A29" s="38" t="s">
        <v>22</v>
      </c>
      <c r="B29" s="109">
        <v>5</v>
      </c>
      <c r="C29" s="15">
        <v>0.92</v>
      </c>
      <c r="D29" s="15">
        <v>0.94</v>
      </c>
      <c r="E29" s="15">
        <v>0.96</v>
      </c>
      <c r="F29" s="15">
        <v>0.98</v>
      </c>
      <c r="G29" s="15">
        <v>1</v>
      </c>
      <c r="H29" s="675" t="s">
        <v>57</v>
      </c>
      <c r="I29" s="672"/>
      <c r="J29" s="672"/>
      <c r="K29" s="673"/>
      <c r="L29" s="114">
        <f>'[1]6 เดือน'!$L$29</f>
        <v>1</v>
      </c>
      <c r="M29" s="61">
        <f>IF(L29=0,"-",L29*B29/B$94)</f>
        <v>0.05</v>
      </c>
    </row>
    <row r="30" spans="1:13" ht="24.75" customHeight="1">
      <c r="A30" s="40" t="s">
        <v>23</v>
      </c>
      <c r="B30" s="5"/>
      <c r="C30" s="12"/>
      <c r="D30" s="12"/>
      <c r="E30" s="12"/>
      <c r="F30" s="12"/>
      <c r="G30" s="12"/>
      <c r="H30" s="657" t="s">
        <v>58</v>
      </c>
      <c r="I30" s="674"/>
      <c r="J30" s="674"/>
      <c r="K30" s="658"/>
      <c r="L30" s="115"/>
      <c r="M30" s="62"/>
    </row>
    <row r="31" spans="1:13" ht="24.75" customHeight="1">
      <c r="A31" s="40" t="s">
        <v>24</v>
      </c>
      <c r="B31" s="5"/>
      <c r="C31" s="12"/>
      <c r="D31" s="12"/>
      <c r="E31" s="12"/>
      <c r="F31" s="12"/>
      <c r="G31" s="12"/>
      <c r="H31" s="657" t="s">
        <v>77</v>
      </c>
      <c r="I31" s="674"/>
      <c r="J31" s="674"/>
      <c r="K31" s="658"/>
      <c r="L31" s="115"/>
      <c r="M31" s="62"/>
    </row>
    <row r="32" spans="1:13" ht="24.75" customHeight="1">
      <c r="A32" s="46"/>
      <c r="B32" s="5"/>
      <c r="C32" s="12"/>
      <c r="D32" s="12"/>
      <c r="E32" s="12"/>
      <c r="F32" s="12"/>
      <c r="G32" s="12"/>
      <c r="H32" s="657" t="s">
        <v>59</v>
      </c>
      <c r="I32" s="674"/>
      <c r="J32" s="674"/>
      <c r="K32" s="658"/>
      <c r="L32" s="115"/>
      <c r="M32" s="62"/>
    </row>
    <row r="33" spans="1:13" ht="24.75" customHeight="1">
      <c r="A33" s="46"/>
      <c r="B33" s="5"/>
      <c r="C33" s="12"/>
      <c r="D33" s="12"/>
      <c r="E33" s="12"/>
      <c r="F33" s="12"/>
      <c r="G33" s="12"/>
      <c r="H33" s="75"/>
      <c r="I33" s="48" t="s">
        <v>56</v>
      </c>
      <c r="J33" s="111">
        <v>35.54</v>
      </c>
      <c r="K33" s="76" t="s">
        <v>51</v>
      </c>
      <c r="L33" s="115"/>
      <c r="M33" s="62"/>
    </row>
    <row r="34" spans="1:13" ht="24.75" customHeight="1">
      <c r="A34" s="46"/>
      <c r="B34" s="5"/>
      <c r="C34" s="12"/>
      <c r="D34" s="12"/>
      <c r="E34" s="12"/>
      <c r="F34" s="12"/>
      <c r="G34" s="12"/>
      <c r="H34" s="77"/>
      <c r="I34" s="70"/>
      <c r="J34" s="70"/>
      <c r="K34" s="78"/>
      <c r="L34" s="115"/>
      <c r="M34" s="62"/>
    </row>
    <row r="35" spans="1:13" ht="24.75" customHeight="1">
      <c r="A35" s="38" t="s">
        <v>25</v>
      </c>
      <c r="B35" s="109">
        <v>10</v>
      </c>
      <c r="C35" s="15">
        <v>0.96</v>
      </c>
      <c r="D35" s="15">
        <v>0.97</v>
      </c>
      <c r="E35" s="15">
        <v>0.98</v>
      </c>
      <c r="F35" s="15">
        <v>0.99</v>
      </c>
      <c r="G35" s="15">
        <v>1</v>
      </c>
      <c r="H35" s="675" t="s">
        <v>73</v>
      </c>
      <c r="I35" s="672"/>
      <c r="J35" s="672"/>
      <c r="K35" s="673"/>
      <c r="L35" s="114">
        <v>1</v>
      </c>
      <c r="M35" s="61">
        <f>IF(L35=0,"-",L35*B35/B$94)</f>
        <v>0.1</v>
      </c>
    </row>
    <row r="36" spans="1:13" ht="24.75" customHeight="1">
      <c r="A36" s="40" t="s">
        <v>26</v>
      </c>
      <c r="B36" s="5"/>
      <c r="C36" s="12"/>
      <c r="D36" s="12"/>
      <c r="E36" s="12"/>
      <c r="F36" s="12"/>
      <c r="G36" s="12"/>
      <c r="H36" s="680" t="s">
        <v>74</v>
      </c>
      <c r="I36" s="681"/>
      <c r="J36" s="681"/>
      <c r="K36" s="682"/>
      <c r="L36" s="115"/>
      <c r="M36" s="62"/>
    </row>
    <row r="37" spans="1:13" ht="24.75" customHeight="1">
      <c r="A37" s="46"/>
      <c r="B37" s="5"/>
      <c r="C37" s="12"/>
      <c r="D37" s="12"/>
      <c r="E37" s="12"/>
      <c r="F37" s="12"/>
      <c r="G37" s="12"/>
      <c r="H37" s="680" t="s">
        <v>75</v>
      </c>
      <c r="I37" s="681"/>
      <c r="J37" s="681"/>
      <c r="K37" s="682"/>
      <c r="L37" s="115"/>
      <c r="M37" s="62"/>
    </row>
    <row r="38" spans="1:13" ht="24.75" customHeight="1">
      <c r="A38" s="46"/>
      <c r="B38" s="5"/>
      <c r="C38" s="12"/>
      <c r="D38" s="12"/>
      <c r="E38" s="12"/>
      <c r="F38" s="12"/>
      <c r="G38" s="12"/>
      <c r="H38" s="680" t="s">
        <v>76</v>
      </c>
      <c r="I38" s="683"/>
      <c r="J38" s="683"/>
      <c r="K38" s="684"/>
      <c r="L38" s="115"/>
      <c r="M38" s="62"/>
    </row>
    <row r="39" spans="1:13" ht="24.75" customHeight="1">
      <c r="A39" s="46"/>
      <c r="B39" s="5"/>
      <c r="C39" s="12"/>
      <c r="D39" s="12"/>
      <c r="E39" s="12"/>
      <c r="F39" s="12"/>
      <c r="G39" s="12"/>
      <c r="H39" s="75"/>
      <c r="I39" s="48" t="s">
        <v>56</v>
      </c>
      <c r="J39" s="111">
        <v>87.99</v>
      </c>
      <c r="K39" s="76" t="s">
        <v>51</v>
      </c>
      <c r="L39" s="115"/>
      <c r="M39" s="62"/>
    </row>
    <row r="40" spans="1:13" ht="24.75" customHeight="1">
      <c r="A40" s="49"/>
      <c r="B40" s="14"/>
      <c r="C40" s="6"/>
      <c r="D40" s="6"/>
      <c r="E40" s="6"/>
      <c r="F40" s="6"/>
      <c r="G40" s="6"/>
      <c r="H40" s="96"/>
      <c r="I40" s="99"/>
      <c r="J40" s="99"/>
      <c r="K40" s="100"/>
      <c r="L40" s="116"/>
      <c r="M40" s="63"/>
    </row>
    <row r="41" spans="1:13" ht="24.75" customHeight="1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675" t="s">
        <v>62</v>
      </c>
      <c r="I41" s="672"/>
      <c r="J41" s="672"/>
      <c r="K41" s="673"/>
      <c r="L41" s="114">
        <f>'[1]6 เดือน'!$L$41</f>
        <v>1</v>
      </c>
      <c r="M41" s="61">
        <f>IF(L41=0,"-",L41*B41/B$94)</f>
        <v>0.1</v>
      </c>
    </row>
    <row r="42" spans="1:13" ht="24.75" customHeight="1">
      <c r="A42" s="40" t="s">
        <v>28</v>
      </c>
      <c r="B42" s="5"/>
      <c r="C42" s="17"/>
      <c r="D42" s="17"/>
      <c r="E42" s="17"/>
      <c r="F42" s="17"/>
      <c r="G42" s="17"/>
      <c r="H42" s="657" t="s">
        <v>63</v>
      </c>
      <c r="I42" s="674"/>
      <c r="J42" s="674"/>
      <c r="K42" s="658"/>
      <c r="L42" s="115"/>
      <c r="M42" s="62"/>
    </row>
    <row r="43" spans="1:13" ht="24.75" customHeight="1">
      <c r="A43" s="40" t="s">
        <v>60</v>
      </c>
      <c r="B43" s="5"/>
      <c r="C43" s="17"/>
      <c r="D43" s="17"/>
      <c r="E43" s="17"/>
      <c r="F43" s="17"/>
      <c r="G43" s="17"/>
      <c r="H43" s="657" t="s">
        <v>64</v>
      </c>
      <c r="I43" s="674"/>
      <c r="J43" s="674"/>
      <c r="K43" s="658"/>
      <c r="L43" s="115"/>
      <c r="M43" s="62"/>
    </row>
    <row r="44" spans="1:13" ht="24.75" customHeight="1">
      <c r="A44" s="40"/>
      <c r="B44" s="5"/>
      <c r="C44" s="17"/>
      <c r="D44" s="17"/>
      <c r="E44" s="17"/>
      <c r="F44" s="17"/>
      <c r="G44" s="17"/>
      <c r="H44" s="47" t="s">
        <v>65</v>
      </c>
      <c r="I44" s="51"/>
      <c r="J44" s="92"/>
      <c r="K44" s="101"/>
      <c r="L44" s="115"/>
      <c r="M44" s="62"/>
    </row>
    <row r="45" spans="1:13" ht="24.75" customHeight="1">
      <c r="A45" s="40"/>
      <c r="B45" s="5"/>
      <c r="C45" s="17"/>
      <c r="D45" s="17"/>
      <c r="E45" s="17"/>
      <c r="F45" s="17"/>
      <c r="G45" s="17"/>
      <c r="H45" s="47"/>
      <c r="I45" s="51" t="s">
        <v>66</v>
      </c>
      <c r="J45" s="111">
        <v>0</v>
      </c>
      <c r="K45" s="101" t="s">
        <v>61</v>
      </c>
      <c r="L45" s="115"/>
      <c r="M45" s="62"/>
    </row>
    <row r="46" spans="1:13" ht="24.75" customHeight="1">
      <c r="A46" s="40"/>
      <c r="B46" s="5"/>
      <c r="C46" s="17"/>
      <c r="D46" s="17"/>
      <c r="E46" s="17"/>
      <c r="F46" s="17"/>
      <c r="G46" s="17"/>
      <c r="H46" s="47"/>
      <c r="I46" s="51" t="s">
        <v>67</v>
      </c>
      <c r="J46" s="111">
        <v>0</v>
      </c>
      <c r="K46" s="101" t="s">
        <v>61</v>
      </c>
      <c r="L46" s="115"/>
      <c r="M46" s="62"/>
    </row>
    <row r="47" spans="1:13" ht="24.75" customHeight="1">
      <c r="A47" s="40"/>
      <c r="B47" s="5"/>
      <c r="C47" s="17"/>
      <c r="D47" s="17"/>
      <c r="E47" s="17"/>
      <c r="F47" s="17"/>
      <c r="G47" s="17"/>
      <c r="H47" s="75"/>
      <c r="I47" s="48" t="s">
        <v>81</v>
      </c>
      <c r="J47" s="111">
        <v>0</v>
      </c>
      <c r="K47" s="76" t="s">
        <v>51</v>
      </c>
      <c r="L47" s="115"/>
      <c r="M47" s="62"/>
    </row>
    <row r="48" spans="1:13" ht="25.5">
      <c r="A48" s="40"/>
      <c r="B48" s="5"/>
      <c r="C48" s="17"/>
      <c r="D48" s="17"/>
      <c r="E48" s="17"/>
      <c r="F48" s="17"/>
      <c r="G48" s="17"/>
      <c r="H48" s="679"/>
      <c r="I48" s="677"/>
      <c r="J48" s="677"/>
      <c r="K48" s="678"/>
      <c r="L48" s="115"/>
      <c r="M48" s="62"/>
    </row>
    <row r="49" spans="1:13" ht="24.75" customHeight="1">
      <c r="A49" s="38" t="s">
        <v>68</v>
      </c>
      <c r="B49" s="109">
        <v>5</v>
      </c>
      <c r="C49" s="15">
        <v>0.5</v>
      </c>
      <c r="D49" s="15">
        <v>0.75</v>
      </c>
      <c r="E49" s="15">
        <v>1</v>
      </c>
      <c r="F49" s="15">
        <v>1</v>
      </c>
      <c r="G49" s="15">
        <v>1</v>
      </c>
      <c r="H49" s="675" t="s">
        <v>78</v>
      </c>
      <c r="I49" s="672"/>
      <c r="J49" s="672"/>
      <c r="K49" s="673"/>
      <c r="L49" s="114">
        <f>'[1]6 เดือน'!$L$49</f>
        <v>1</v>
      </c>
      <c r="M49" s="61">
        <f>IF(L49=0,"-",L49*B49/B$94)</f>
        <v>0.05</v>
      </c>
    </row>
    <row r="50" spans="1:13" ht="24.75" customHeight="1">
      <c r="A50" s="40" t="s">
        <v>69</v>
      </c>
      <c r="B50" s="3"/>
      <c r="C50" s="18"/>
      <c r="D50" s="18"/>
      <c r="E50" s="18"/>
      <c r="F50" s="18" t="s">
        <v>70</v>
      </c>
      <c r="G50" s="18" t="s">
        <v>70</v>
      </c>
      <c r="H50" s="674" t="s">
        <v>79</v>
      </c>
      <c r="I50" s="674"/>
      <c r="J50" s="674"/>
      <c r="K50" s="658"/>
      <c r="L50" s="115"/>
      <c r="M50" s="62"/>
    </row>
    <row r="51" spans="1:13" ht="24.75" customHeight="1">
      <c r="A51" s="40"/>
      <c r="B51" s="3"/>
      <c r="C51" s="18"/>
      <c r="D51" s="18"/>
      <c r="E51" s="18"/>
      <c r="F51" s="18" t="s">
        <v>71</v>
      </c>
      <c r="G51" s="18" t="s">
        <v>72</v>
      </c>
      <c r="H51" s="674" t="s">
        <v>80</v>
      </c>
      <c r="I51" s="674"/>
      <c r="J51" s="674"/>
      <c r="K51" s="658"/>
      <c r="L51" s="115"/>
      <c r="M51" s="62"/>
    </row>
    <row r="52" spans="1:13" ht="24.75" customHeight="1">
      <c r="A52" s="40"/>
      <c r="B52" s="3"/>
      <c r="C52" s="19"/>
      <c r="D52" s="19"/>
      <c r="E52" s="19"/>
      <c r="F52" s="19"/>
      <c r="G52" s="19"/>
      <c r="H52" s="75"/>
      <c r="I52" s="48" t="s">
        <v>56</v>
      </c>
      <c r="J52" s="111">
        <v>0</v>
      </c>
      <c r="K52" s="76" t="s">
        <v>51</v>
      </c>
      <c r="L52" s="115"/>
      <c r="M52" s="62"/>
    </row>
    <row r="53" spans="1:13" ht="25.5">
      <c r="A53" s="50"/>
      <c r="B53" s="14"/>
      <c r="C53" s="6"/>
      <c r="D53" s="6"/>
      <c r="E53" s="6"/>
      <c r="F53" s="6"/>
      <c r="G53" s="6"/>
      <c r="H53" s="679"/>
      <c r="I53" s="685"/>
      <c r="J53" s="685"/>
      <c r="K53" s="686"/>
      <c r="L53" s="116"/>
      <c r="M53" s="63"/>
    </row>
    <row r="54" spans="1:13" ht="24.75" customHeight="1">
      <c r="A54" s="38" t="s">
        <v>84</v>
      </c>
      <c r="B54" s="109">
        <v>10</v>
      </c>
      <c r="C54" s="15">
        <v>0.78</v>
      </c>
      <c r="D54" s="15">
        <v>0.81</v>
      </c>
      <c r="E54" s="15">
        <v>0.84</v>
      </c>
      <c r="F54" s="15">
        <v>0.87</v>
      </c>
      <c r="G54" s="15">
        <v>0.9</v>
      </c>
      <c r="H54" s="675" t="s">
        <v>99</v>
      </c>
      <c r="I54" s="672"/>
      <c r="J54" s="672"/>
      <c r="K54" s="673"/>
      <c r="L54" s="114">
        <v>1</v>
      </c>
      <c r="M54" s="61">
        <f>IF(L54=0,"-",L54*B54/B$94)</f>
        <v>0.1</v>
      </c>
    </row>
    <row r="55" spans="1:13" ht="24.75" customHeight="1">
      <c r="A55" s="40" t="s">
        <v>85</v>
      </c>
      <c r="B55" s="5"/>
      <c r="C55" s="17"/>
      <c r="D55" s="17"/>
      <c r="E55" s="17"/>
      <c r="F55" s="17"/>
      <c r="G55" s="17"/>
      <c r="H55" s="657" t="s">
        <v>100</v>
      </c>
      <c r="I55" s="674"/>
      <c r="J55" s="674"/>
      <c r="K55" s="658"/>
      <c r="L55" s="115"/>
      <c r="M55" s="62"/>
    </row>
    <row r="56" spans="1:13" ht="24.75" customHeight="1">
      <c r="A56" s="46"/>
      <c r="B56" s="5"/>
      <c r="C56" s="17"/>
      <c r="D56" s="17"/>
      <c r="E56" s="17"/>
      <c r="F56" s="17"/>
      <c r="G56" s="17"/>
      <c r="H56" s="48"/>
      <c r="I56" s="48" t="s">
        <v>87</v>
      </c>
      <c r="J56" s="111">
        <v>3468.08</v>
      </c>
      <c r="K56" s="76" t="s">
        <v>34</v>
      </c>
      <c r="L56" s="115"/>
      <c r="M56" s="62"/>
    </row>
    <row r="57" spans="1:13" ht="24.75" customHeight="1">
      <c r="A57" s="46"/>
      <c r="B57" s="5"/>
      <c r="C57" s="17"/>
      <c r="D57" s="17"/>
      <c r="E57" s="17"/>
      <c r="F57" s="17"/>
      <c r="G57" s="17"/>
      <c r="H57" s="48"/>
      <c r="I57" s="48" t="s">
        <v>86</v>
      </c>
      <c r="J57" s="111">
        <v>1674.66</v>
      </c>
      <c r="K57" s="76" t="s">
        <v>34</v>
      </c>
      <c r="L57" s="115"/>
      <c r="M57" s="62"/>
    </row>
    <row r="58" spans="1:13" ht="24.75" customHeight="1">
      <c r="A58" s="46"/>
      <c r="B58" s="5"/>
      <c r="C58" s="17"/>
      <c r="D58" s="17"/>
      <c r="E58" s="17"/>
      <c r="F58" s="17"/>
      <c r="G58" s="17"/>
      <c r="H58" s="48"/>
      <c r="I58" s="48" t="s">
        <v>88</v>
      </c>
      <c r="J58" s="111">
        <f>J57*100/J56</f>
        <v>48.287813429909349</v>
      </c>
      <c r="K58" s="76" t="s">
        <v>51</v>
      </c>
      <c r="L58" s="115"/>
      <c r="M58" s="62"/>
    </row>
    <row r="59" spans="1:13" ht="27.75" customHeight="1">
      <c r="A59" s="49"/>
      <c r="B59" s="14"/>
      <c r="C59" s="20"/>
      <c r="D59" s="20"/>
      <c r="E59" s="20"/>
      <c r="F59" s="20"/>
      <c r="G59" s="20"/>
      <c r="H59" s="102"/>
      <c r="I59" s="99"/>
      <c r="J59" s="103"/>
      <c r="K59" s="100"/>
      <c r="L59" s="116"/>
      <c r="M59" s="63"/>
    </row>
    <row r="60" spans="1:13" ht="24.75" customHeight="1">
      <c r="A60" s="38" t="s">
        <v>89</v>
      </c>
      <c r="B60" s="109">
        <v>5</v>
      </c>
      <c r="C60" s="15">
        <v>0.6</v>
      </c>
      <c r="D60" s="15">
        <v>0.65</v>
      </c>
      <c r="E60" s="15">
        <v>0.7</v>
      </c>
      <c r="F60" s="15">
        <v>0.75</v>
      </c>
      <c r="G60" s="15">
        <v>0.8</v>
      </c>
      <c r="H60" s="675" t="s">
        <v>92</v>
      </c>
      <c r="I60" s="672"/>
      <c r="J60" s="672"/>
      <c r="K60" s="673"/>
      <c r="L60" s="114">
        <f>'[1]6 เดือน'!$L$60</f>
        <v>1</v>
      </c>
      <c r="M60" s="61">
        <f>IF(L60=0,"-",L60*B60/B$94)</f>
        <v>0.05</v>
      </c>
    </row>
    <row r="61" spans="1:13" ht="24.75" customHeight="1">
      <c r="A61" s="40" t="s">
        <v>90</v>
      </c>
      <c r="B61" s="3"/>
      <c r="C61" s="21"/>
      <c r="D61" s="21"/>
      <c r="E61" s="21"/>
      <c r="F61" s="21"/>
      <c r="G61" s="21"/>
      <c r="H61" s="657" t="s">
        <v>93</v>
      </c>
      <c r="I61" s="674"/>
      <c r="J61" s="674"/>
      <c r="K61" s="658"/>
      <c r="L61" s="115"/>
      <c r="M61" s="62"/>
    </row>
    <row r="62" spans="1:13" ht="24.75" customHeight="1">
      <c r="A62" s="40" t="s">
        <v>91</v>
      </c>
      <c r="B62" s="5"/>
      <c r="C62" s="12"/>
      <c r="D62" s="12"/>
      <c r="E62" s="12"/>
      <c r="F62" s="12"/>
      <c r="G62" s="12"/>
      <c r="H62" s="657" t="s">
        <v>94</v>
      </c>
      <c r="I62" s="674"/>
      <c r="J62" s="674"/>
      <c r="K62" s="658"/>
      <c r="L62" s="115"/>
      <c r="M62" s="62"/>
    </row>
    <row r="63" spans="1:13" ht="24.75" customHeight="1">
      <c r="A63" s="40"/>
      <c r="B63" s="5"/>
      <c r="C63" s="12"/>
      <c r="D63" s="12"/>
      <c r="E63" s="12"/>
      <c r="F63" s="12"/>
      <c r="G63" s="12"/>
      <c r="H63" s="75" t="s">
        <v>95</v>
      </c>
      <c r="I63" s="84"/>
      <c r="J63" s="84"/>
      <c r="K63" s="76"/>
      <c r="L63" s="115"/>
      <c r="M63" s="62"/>
    </row>
    <row r="64" spans="1:13" ht="24.75" customHeight="1">
      <c r="A64" s="40"/>
      <c r="B64" s="5"/>
      <c r="C64" s="12"/>
      <c r="D64" s="12"/>
      <c r="E64" s="12"/>
      <c r="F64" s="12"/>
      <c r="G64" s="12"/>
      <c r="H64" s="47"/>
      <c r="I64" s="51" t="s">
        <v>97</v>
      </c>
      <c r="J64" s="111">
        <v>0</v>
      </c>
      <c r="K64" s="101" t="s">
        <v>96</v>
      </c>
      <c r="L64" s="115"/>
      <c r="M64" s="62"/>
    </row>
    <row r="65" spans="1:32" ht="24.75" customHeight="1">
      <c r="A65" s="46"/>
      <c r="B65" s="5"/>
      <c r="C65" s="12"/>
      <c r="D65" s="12"/>
      <c r="E65" s="12"/>
      <c r="F65" s="12"/>
      <c r="G65" s="12"/>
      <c r="H65" s="47"/>
      <c r="I65" s="51" t="s">
        <v>98</v>
      </c>
      <c r="J65" s="111">
        <v>0</v>
      </c>
      <c r="K65" s="101" t="s">
        <v>96</v>
      </c>
      <c r="L65" s="115"/>
      <c r="M65" s="62"/>
    </row>
    <row r="66" spans="1:32" ht="24.75" customHeight="1">
      <c r="A66" s="46"/>
      <c r="B66" s="5"/>
      <c r="C66" s="12"/>
      <c r="D66" s="12"/>
      <c r="E66" s="12"/>
      <c r="F66" s="12"/>
      <c r="G66" s="12"/>
      <c r="H66" s="75"/>
      <c r="I66" s="51" t="s">
        <v>35</v>
      </c>
      <c r="J66" s="111">
        <v>0</v>
      </c>
      <c r="K66" s="76" t="s">
        <v>51</v>
      </c>
      <c r="L66" s="115"/>
      <c r="M66" s="62"/>
    </row>
    <row r="67" spans="1:32" ht="24.75" customHeight="1">
      <c r="A67" s="46"/>
      <c r="B67" s="5"/>
      <c r="C67" s="12"/>
      <c r="D67" s="12"/>
      <c r="E67" s="12"/>
      <c r="F67" s="12"/>
      <c r="G67" s="12"/>
      <c r="H67" s="48"/>
      <c r="I67" s="104"/>
      <c r="J67" s="104"/>
      <c r="K67" s="105"/>
      <c r="L67" s="115"/>
      <c r="M67" s="62"/>
    </row>
    <row r="68" spans="1:32" ht="24.75" customHeight="1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675" t="s">
        <v>103</v>
      </c>
      <c r="I68" s="672"/>
      <c r="J68" s="672"/>
      <c r="K68" s="673"/>
      <c r="L68" s="114">
        <f>'[1]6 เดือน'!$L$68</f>
        <v>1</v>
      </c>
      <c r="M68" s="61">
        <f>IF(L68=0,"-",L68*B68/B$94)</f>
        <v>0.05</v>
      </c>
    </row>
    <row r="69" spans="1:32" ht="24.75" customHeight="1">
      <c r="A69" s="40" t="s">
        <v>102</v>
      </c>
      <c r="B69" s="5"/>
      <c r="C69" s="17"/>
      <c r="D69" s="17"/>
      <c r="E69" s="17"/>
      <c r="F69" s="17"/>
      <c r="G69" s="17"/>
      <c r="H69" s="657" t="s">
        <v>104</v>
      </c>
      <c r="I69" s="674"/>
      <c r="J69" s="674"/>
      <c r="K69" s="658"/>
      <c r="L69" s="115"/>
      <c r="M69" s="62"/>
    </row>
    <row r="70" spans="1:32" ht="24.75" customHeight="1">
      <c r="A70" s="40"/>
      <c r="B70" s="5"/>
      <c r="C70" s="17"/>
      <c r="D70" s="17"/>
      <c r="E70" s="17"/>
      <c r="F70" s="17"/>
      <c r="G70" s="17"/>
      <c r="H70" s="657" t="s">
        <v>105</v>
      </c>
      <c r="I70" s="674"/>
      <c r="J70" s="674"/>
      <c r="K70" s="658"/>
      <c r="L70" s="115"/>
      <c r="M70" s="62"/>
    </row>
    <row r="71" spans="1:32" ht="24.75" customHeight="1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76" t="s">
        <v>51</v>
      </c>
      <c r="L71" s="115"/>
      <c r="M71" s="62"/>
    </row>
    <row r="72" spans="1:32" ht="24.75" customHeight="1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675" t="s">
        <v>108</v>
      </c>
      <c r="I73" s="672"/>
      <c r="J73" s="672"/>
      <c r="K73" s="673"/>
      <c r="L73" s="114">
        <f>'[1]6 เดือน'!$L$73</f>
        <v>1</v>
      </c>
      <c r="M73" s="61">
        <f>IF(L73=0,"-",L73*B73/B$94)</f>
        <v>0.05</v>
      </c>
      <c r="P73" s="1"/>
    </row>
    <row r="74" spans="1:32" ht="24.75" customHeight="1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657" t="s">
        <v>109</v>
      </c>
      <c r="I74" s="674"/>
      <c r="J74" s="674"/>
      <c r="K74" s="658"/>
      <c r="L74" s="115"/>
      <c r="M74" s="62"/>
    </row>
    <row r="75" spans="1:32" ht="24.75" customHeight="1">
      <c r="A75" s="40"/>
      <c r="B75" s="5"/>
      <c r="C75" s="23"/>
      <c r="D75" s="23"/>
      <c r="E75" s="23"/>
      <c r="F75" s="23"/>
      <c r="G75" s="23"/>
      <c r="H75" s="657" t="s">
        <v>110</v>
      </c>
      <c r="I75" s="674"/>
      <c r="J75" s="674"/>
      <c r="K75" s="658"/>
      <c r="L75" s="115"/>
      <c r="M75" s="62"/>
      <c r="P75" s="52"/>
      <c r="Q75" s="52"/>
    </row>
    <row r="76" spans="1:32" ht="24.75" customHeight="1">
      <c r="A76" s="40"/>
      <c r="B76" s="5"/>
      <c r="C76" s="23"/>
      <c r="D76" s="23"/>
      <c r="E76" s="23"/>
      <c r="F76" s="23"/>
      <c r="G76" s="23"/>
      <c r="H76" s="657" t="s">
        <v>111</v>
      </c>
      <c r="I76" s="674"/>
      <c r="J76" s="674"/>
      <c r="K76" s="658"/>
      <c r="L76" s="115"/>
      <c r="M76" s="62"/>
      <c r="P76" s="52"/>
      <c r="Q76" s="52"/>
    </row>
    <row r="77" spans="1:32" ht="24.75" customHeight="1">
      <c r="A77" s="40"/>
      <c r="B77" s="5"/>
      <c r="C77" s="23"/>
      <c r="D77" s="23"/>
      <c r="E77" s="23"/>
      <c r="F77" s="23"/>
      <c r="G77" s="23"/>
      <c r="H77" s="75"/>
      <c r="I77" s="51" t="s">
        <v>112</v>
      </c>
      <c r="J77" s="111">
        <v>0</v>
      </c>
      <c r="K77" s="101"/>
      <c r="L77" s="115"/>
      <c r="M77" s="62"/>
      <c r="P77" s="53"/>
      <c r="Q77" s="53"/>
      <c r="R77" s="54"/>
    </row>
    <row r="78" spans="1:32" ht="27" customHeight="1">
      <c r="A78" s="50"/>
      <c r="B78" s="14"/>
      <c r="C78" s="20"/>
      <c r="D78" s="20"/>
      <c r="E78" s="20"/>
      <c r="F78" s="20"/>
      <c r="G78" s="20"/>
      <c r="H78" s="96"/>
      <c r="I78" s="99"/>
      <c r="J78" s="99"/>
      <c r="K78" s="100"/>
      <c r="L78" s="116"/>
      <c r="M78" s="63"/>
    </row>
    <row r="79" spans="1:32" ht="24.75" customHeight="1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675" t="s">
        <v>123</v>
      </c>
      <c r="I79" s="672"/>
      <c r="J79" s="672"/>
      <c r="K79" s="673"/>
      <c r="L79" s="114">
        <f>'[1]7 เดือน'!$L$79</f>
        <v>4.4117647058823541</v>
      </c>
      <c r="M79" s="61">
        <f>IF(L79=0,"-",L79*B79/B$94)</f>
        <v>0.22058823529411772</v>
      </c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</row>
    <row r="80" spans="1:32" ht="24.75" customHeight="1">
      <c r="A80" s="56" t="s">
        <v>36</v>
      </c>
      <c r="B80" s="27"/>
      <c r="C80" s="17"/>
      <c r="D80" s="17"/>
      <c r="E80" s="17"/>
      <c r="F80" s="17"/>
      <c r="G80" s="28"/>
      <c r="H80" s="75" t="s">
        <v>124</v>
      </c>
      <c r="I80" s="92"/>
      <c r="J80" s="108"/>
      <c r="K80" s="105"/>
      <c r="L80" s="117"/>
      <c r="M80" s="62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</row>
    <row r="81" spans="1:32" ht="24.75" customHeight="1">
      <c r="A81" s="56"/>
      <c r="B81" s="27"/>
      <c r="C81" s="17"/>
      <c r="D81" s="17"/>
      <c r="E81" s="17"/>
      <c r="F81" s="17"/>
      <c r="G81" s="17"/>
      <c r="H81" s="84" t="s">
        <v>125</v>
      </c>
      <c r="I81" s="92"/>
      <c r="J81" s="108"/>
      <c r="K81" s="105"/>
      <c r="L81" s="117"/>
      <c r="M81" s="62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</row>
    <row r="82" spans="1:32" ht="24.75" customHeight="1">
      <c r="A82" s="56"/>
      <c r="B82" s="27"/>
      <c r="C82" s="17"/>
      <c r="D82" s="17"/>
      <c r="E82" s="17"/>
      <c r="F82" s="17"/>
      <c r="G82" s="17"/>
      <c r="H82" s="75" t="s">
        <v>126</v>
      </c>
      <c r="I82" s="92"/>
      <c r="J82" s="108"/>
      <c r="K82" s="105"/>
      <c r="L82" s="117"/>
      <c r="M82" s="62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</row>
    <row r="83" spans="1:32" ht="24.75" customHeight="1">
      <c r="A83" s="56"/>
      <c r="B83" s="27"/>
      <c r="C83" s="17"/>
      <c r="D83" s="17"/>
      <c r="E83" s="17"/>
      <c r="F83" s="17"/>
      <c r="G83" s="17"/>
      <c r="H83" s="75" t="s">
        <v>127</v>
      </c>
      <c r="I83" s="92"/>
      <c r="J83" s="108"/>
      <c r="K83" s="105"/>
      <c r="L83" s="117"/>
      <c r="M83" s="62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</row>
    <row r="84" spans="1:32" ht="24.75" customHeight="1">
      <c r="A84" s="56"/>
      <c r="B84" s="27"/>
      <c r="C84" s="17"/>
      <c r="D84" s="17"/>
      <c r="E84" s="17"/>
      <c r="F84" s="17"/>
      <c r="G84" s="17"/>
      <c r="H84" s="75"/>
      <c r="I84" s="51" t="s">
        <v>114</v>
      </c>
      <c r="J84" s="112">
        <f>'[1]7 เดือน'!$L$79</f>
        <v>4.4117647058823541</v>
      </c>
      <c r="K84" s="101"/>
      <c r="L84" s="117"/>
      <c r="M84" s="62"/>
      <c r="O84" s="58"/>
      <c r="P84" s="58"/>
      <c r="Q84" s="58"/>
      <c r="R84" s="58"/>
      <c r="S84" s="58"/>
      <c r="T84" s="58"/>
      <c r="U84" s="58"/>
      <c r="V84" s="59"/>
      <c r="W84" s="58"/>
      <c r="X84" s="58"/>
      <c r="Y84" s="58"/>
      <c r="Z84" s="58"/>
      <c r="AA84" s="58"/>
      <c r="AB84" s="58"/>
      <c r="AC84" s="58"/>
      <c r="AD84" s="58"/>
      <c r="AE84" s="58"/>
      <c r="AF84" s="58"/>
    </row>
    <row r="85" spans="1:32" ht="24.75" customHeight="1">
      <c r="A85" s="60"/>
      <c r="B85" s="29"/>
      <c r="C85" s="20"/>
      <c r="D85" s="20"/>
      <c r="E85" s="20"/>
      <c r="F85" s="20"/>
      <c r="G85" s="20"/>
      <c r="H85" s="97"/>
      <c r="I85" s="99"/>
      <c r="J85" s="99"/>
      <c r="K85" s="100"/>
      <c r="L85" s="118"/>
      <c r="M85" s="63"/>
    </row>
    <row r="86" spans="1:32" ht="24.75" customHeight="1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675" t="s">
        <v>117</v>
      </c>
      <c r="I86" s="672"/>
      <c r="J86" s="672"/>
      <c r="K86" s="673"/>
      <c r="L86" s="114">
        <f>'[1]7 เดือน'!$L$86</f>
        <v>3.5555555555555554</v>
      </c>
      <c r="M86" s="61">
        <f>IF(L86=0,"-",L86*B86/B$94)</f>
        <v>0.17777777777777778</v>
      </c>
    </row>
    <row r="87" spans="1:32" ht="24.75" customHeight="1">
      <c r="A87" s="40" t="s">
        <v>116</v>
      </c>
      <c r="B87" s="5"/>
      <c r="C87" s="17"/>
      <c r="D87" s="17"/>
      <c r="E87" s="17"/>
      <c r="F87" s="17"/>
      <c r="G87" s="17"/>
      <c r="H87" s="657" t="s">
        <v>118</v>
      </c>
      <c r="I87" s="674"/>
      <c r="J87" s="674"/>
      <c r="K87" s="658"/>
      <c r="L87" s="115"/>
      <c r="M87" s="62"/>
    </row>
    <row r="88" spans="1:32" ht="24.75" customHeight="1">
      <c r="A88" s="40"/>
      <c r="B88" s="5"/>
      <c r="C88" s="17"/>
      <c r="D88" s="17"/>
      <c r="E88" s="17"/>
      <c r="F88" s="17"/>
      <c r="G88" s="17"/>
      <c r="H88" s="657" t="s">
        <v>119</v>
      </c>
      <c r="I88" s="674"/>
      <c r="J88" s="674"/>
      <c r="K88" s="658"/>
      <c r="L88" s="115"/>
      <c r="M88" s="62"/>
    </row>
    <row r="89" spans="1:32" ht="24.75" customHeight="1">
      <c r="A89" s="40"/>
      <c r="B89" s="5"/>
      <c r="C89" s="17"/>
      <c r="D89" s="17"/>
      <c r="E89" s="17"/>
      <c r="F89" s="17"/>
      <c r="G89" s="17"/>
      <c r="H89" s="75" t="s">
        <v>120</v>
      </c>
      <c r="I89" s="84"/>
      <c r="J89" s="84"/>
      <c r="K89" s="76"/>
      <c r="L89" s="115"/>
      <c r="M89" s="62"/>
    </row>
    <row r="90" spans="1:32" ht="24.75" customHeight="1">
      <c r="A90" s="40"/>
      <c r="B90" s="5"/>
      <c r="C90" s="17"/>
      <c r="D90" s="17"/>
      <c r="E90" s="17"/>
      <c r="F90" s="17"/>
      <c r="G90" s="17"/>
      <c r="H90" s="75" t="s">
        <v>121</v>
      </c>
      <c r="I90" s="84"/>
      <c r="J90" s="84"/>
      <c r="K90" s="76"/>
      <c r="L90" s="115"/>
      <c r="M90" s="62"/>
    </row>
    <row r="91" spans="1:32" ht="24.75" customHeight="1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2">
        <v>0</v>
      </c>
      <c r="K91" s="76" t="s">
        <v>51</v>
      </c>
      <c r="L91" s="115"/>
      <c r="M91" s="62"/>
    </row>
    <row r="92" spans="1:32" ht="24.75" customHeight="1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>
      <c r="A93" s="687" t="s">
        <v>129</v>
      </c>
      <c r="B93" s="688"/>
      <c r="C93" s="688"/>
      <c r="D93" s="688"/>
      <c r="E93" s="688"/>
      <c r="F93" s="688"/>
      <c r="G93" s="688"/>
      <c r="H93" s="688"/>
      <c r="I93" s="688"/>
      <c r="J93" s="688"/>
      <c r="K93" s="688"/>
      <c r="L93" s="689"/>
      <c r="M93" s="67">
        <f>SUM(M86,M79,M73,M68,M60,M54,M49,M41,M35,M29,M24,M17,M9,M6)</f>
        <v>1.4338660130718957</v>
      </c>
    </row>
    <row r="94" spans="1:32">
      <c r="B94" s="82">
        <f>SUM(B6:B92)</f>
        <v>100</v>
      </c>
    </row>
  </sheetData>
  <customSheetViews>
    <customSheetView guid="{ED89CF83-5DE1-46A5-8666-D9B25B932357}" scale="80">
      <selection activeCell="H6" sqref="H6:H7"/>
      <pageMargins left="0.19685039370078741" right="0.19685039370078741" top="0.55118110236220474" bottom="0.27559055118110237" header="0.19685039370078741" footer="0.47244094488188981"/>
      <printOptions horizontalCentered="1"/>
      <pageSetup paperSize="9" scale="80" orientation="landscape" r:id="rId1"/>
      <headerFooter scaleWithDoc="0">
        <oddHeader>&amp;R&amp;"TH SarabunIT๙,ธรรมดา"&amp;16&amp;P</oddHeader>
      </headerFooter>
    </customSheetView>
  </customSheetViews>
  <mergeCells count="53">
    <mergeCell ref="H75:K75"/>
    <mergeCell ref="H76:K76"/>
    <mergeCell ref="A93:L93"/>
    <mergeCell ref="H86:K86"/>
    <mergeCell ref="H87:K87"/>
    <mergeCell ref="H88:K88"/>
    <mergeCell ref="H79:K79"/>
    <mergeCell ref="H74:K74"/>
    <mergeCell ref="H68:K68"/>
    <mergeCell ref="H69:K69"/>
    <mergeCell ref="H70:K70"/>
    <mergeCell ref="H73:K73"/>
    <mergeCell ref="H51:K51"/>
    <mergeCell ref="H53:K53"/>
    <mergeCell ref="H60:K60"/>
    <mergeCell ref="H61:K61"/>
    <mergeCell ref="H62:K62"/>
    <mergeCell ref="H29:K29"/>
    <mergeCell ref="H30:K30"/>
    <mergeCell ref="H31:K31"/>
    <mergeCell ref="H32:K32"/>
    <mergeCell ref="H55:K55"/>
    <mergeCell ref="H43:K43"/>
    <mergeCell ref="H48:K48"/>
    <mergeCell ref="H35:K35"/>
    <mergeCell ref="H36:K36"/>
    <mergeCell ref="H37:K37"/>
    <mergeCell ref="H38:K38"/>
    <mergeCell ref="H41:K41"/>
    <mergeCell ref="H42:K42"/>
    <mergeCell ref="H54:K54"/>
    <mergeCell ref="H49:K49"/>
    <mergeCell ref="H50:K50"/>
    <mergeCell ref="H14:I14"/>
    <mergeCell ref="H15:I15"/>
    <mergeCell ref="H24:K24"/>
    <mergeCell ref="H25:K25"/>
    <mergeCell ref="H26:K26"/>
    <mergeCell ref="H17:K17"/>
    <mergeCell ref="H18:K18"/>
    <mergeCell ref="H19:K19"/>
    <mergeCell ref="H20:K20"/>
    <mergeCell ref="H21:K21"/>
    <mergeCell ref="H23:K23"/>
    <mergeCell ref="H9:I10"/>
    <mergeCell ref="J9:K9"/>
    <mergeCell ref="H11:I11"/>
    <mergeCell ref="H13:I13"/>
    <mergeCell ref="A1:M1"/>
    <mergeCell ref="A2:M2"/>
    <mergeCell ref="C4:G4"/>
    <mergeCell ref="H4:K5"/>
    <mergeCell ref="L4:L5"/>
  </mergeCells>
  <printOptions horizontalCentered="1"/>
  <pageMargins left="0.19685039370078741" right="0.19685039370078741" top="0.55118110236220474" bottom="0.27559055118110237" header="0.19685039370078741" footer="0.47244094488188981"/>
  <pageSetup paperSize="9" scale="80" orientation="landscape" r:id="rId2"/>
  <headerFooter scaleWithDoc="0">
    <oddHeader>&amp;R&amp;"TH SarabunIT๙,ธรรมดา"&amp;16&amp;P</oddHeader>
  </headerFooter>
  <ignoredErrors>
    <ignoredError sqref="L17 L9 J22 L24 L29 L41 L49 J58 L60 L68 L73 L6" unlocked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>
  <dimension ref="A1:AN73"/>
  <sheetViews>
    <sheetView view="pageBreakPreview" topLeftCell="A46" zoomScaleNormal="90" zoomScaleSheetLayoutView="100" zoomScalePageLayoutView="50" workbookViewId="0">
      <selection activeCell="H54" sqref="H54"/>
    </sheetView>
  </sheetViews>
  <sheetFormatPr defaultColWidth="9.140625" defaultRowHeight="21"/>
  <cols>
    <col min="1" max="1" width="38" style="368" customWidth="1"/>
    <col min="2" max="2" width="11.5703125" style="368" customWidth="1"/>
    <col min="3" max="3" width="9.85546875" style="368" customWidth="1"/>
    <col min="4" max="7" width="9.28515625" style="368" customWidth="1"/>
    <col min="8" max="8" width="9.85546875" style="368" customWidth="1"/>
    <col min="9" max="9" width="16.140625" style="368" customWidth="1"/>
    <col min="10" max="10" width="16.5703125" style="368" customWidth="1"/>
    <col min="11" max="11" width="33.7109375" style="368" customWidth="1"/>
    <col min="12" max="12" width="11.140625" style="421" customWidth="1"/>
    <col min="13" max="13" width="11.140625" style="368" customWidth="1"/>
    <col min="14" max="16" width="9.140625" style="368"/>
    <col min="17" max="17" width="12.42578125" style="368" bestFit="1" customWidth="1"/>
    <col min="18" max="20" width="11.5703125" style="368" bestFit="1" customWidth="1"/>
    <col min="21" max="21" width="9.140625" style="368"/>
    <col min="22" max="30" width="11.5703125" style="368" bestFit="1" customWidth="1"/>
    <col min="31" max="31" width="17.7109375" style="368" customWidth="1"/>
    <col min="32" max="32" width="9.28515625" style="368" bestFit="1" customWidth="1"/>
    <col min="33" max="33" width="11.28515625" style="368" bestFit="1" customWidth="1"/>
    <col min="34" max="35" width="9.140625" style="368"/>
    <col min="36" max="36" width="86.140625" style="368" bestFit="1" customWidth="1"/>
    <col min="37" max="37" width="19.28515625" style="368" bestFit="1" customWidth="1"/>
    <col min="38" max="38" width="15" style="368" bestFit="1" customWidth="1"/>
    <col min="39" max="39" width="10.42578125" style="368" bestFit="1" customWidth="1"/>
    <col min="40" max="16384" width="9.140625" style="368"/>
  </cols>
  <sheetData>
    <row r="1" spans="1:40" ht="24" customHeight="1">
      <c r="A1" s="752" t="s">
        <v>0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2" spans="1:40" ht="24" customHeight="1">
      <c r="A2" s="752" t="s">
        <v>346</v>
      </c>
      <c r="B2" s="753"/>
      <c r="C2" s="753"/>
      <c r="D2" s="753"/>
      <c r="E2" s="753"/>
      <c r="F2" s="753"/>
      <c r="G2" s="753"/>
      <c r="H2" s="753"/>
      <c r="I2" s="753"/>
      <c r="J2" s="753"/>
      <c r="K2" s="753"/>
      <c r="L2" s="753"/>
      <c r="M2" s="753"/>
    </row>
    <row r="3" spans="1:40" ht="24" customHeight="1">
      <c r="A3" s="369" t="s">
        <v>373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72" t="s">
        <v>237</v>
      </c>
    </row>
    <row r="4" spans="1:40" s="375" customFormat="1" ht="24" customHeight="1">
      <c r="A4" s="373" t="s">
        <v>1</v>
      </c>
      <c r="B4" s="373" t="s">
        <v>2</v>
      </c>
      <c r="C4" s="754" t="s">
        <v>3</v>
      </c>
      <c r="D4" s="754"/>
      <c r="E4" s="754"/>
      <c r="F4" s="754"/>
      <c r="G4" s="754"/>
      <c r="H4" s="755" t="s">
        <v>4</v>
      </c>
      <c r="I4" s="756"/>
      <c r="J4" s="756"/>
      <c r="K4" s="757"/>
      <c r="L4" s="761" t="s">
        <v>5</v>
      </c>
      <c r="M4" s="374" t="s">
        <v>6</v>
      </c>
    </row>
    <row r="5" spans="1:40" s="375" customFormat="1" ht="24" customHeight="1">
      <c r="A5" s="376" t="s">
        <v>7</v>
      </c>
      <c r="B5" s="376" t="s">
        <v>8</v>
      </c>
      <c r="C5" s="377">
        <v>1</v>
      </c>
      <c r="D5" s="377">
        <v>2</v>
      </c>
      <c r="E5" s="377">
        <v>3</v>
      </c>
      <c r="F5" s="377">
        <v>4</v>
      </c>
      <c r="G5" s="377">
        <v>5</v>
      </c>
      <c r="H5" s="758"/>
      <c r="I5" s="759"/>
      <c r="J5" s="759"/>
      <c r="K5" s="760"/>
      <c r="L5" s="761"/>
      <c r="M5" s="378" t="s">
        <v>9</v>
      </c>
    </row>
    <row r="6" spans="1:40" ht="24" customHeight="1">
      <c r="A6" s="379" t="s">
        <v>159</v>
      </c>
      <c r="B6" s="302">
        <v>5.45</v>
      </c>
      <c r="C6" s="506">
        <v>0.65</v>
      </c>
      <c r="D6" s="506">
        <v>0.7</v>
      </c>
      <c r="E6" s="506">
        <v>0.75</v>
      </c>
      <c r="F6" s="506">
        <v>0.8</v>
      </c>
      <c r="G6" s="506">
        <v>0.85</v>
      </c>
      <c r="H6" s="738" t="s">
        <v>203</v>
      </c>
      <c r="I6" s="739"/>
      <c r="J6" s="739"/>
      <c r="K6" s="740"/>
      <c r="L6" s="303">
        <v>4.8520000000000003</v>
      </c>
      <c r="M6" s="380">
        <f>IF(L6=0,"-",ROUND(L6*B6/B$64,4))</f>
        <v>0.3382</v>
      </c>
    </row>
    <row r="7" spans="1:40" ht="24" customHeight="1">
      <c r="A7" s="381" t="s">
        <v>144</v>
      </c>
      <c r="B7" s="382"/>
      <c r="C7" s="383"/>
      <c r="D7" s="383"/>
      <c r="E7" s="383"/>
      <c r="F7" s="383"/>
      <c r="G7" s="383"/>
      <c r="H7" s="762" t="s">
        <v>365</v>
      </c>
      <c r="I7" s="763"/>
      <c r="J7" s="763"/>
      <c r="K7" s="764"/>
      <c r="L7" s="384"/>
      <c r="M7" s="385"/>
      <c r="N7" s="375" t="s">
        <v>238</v>
      </c>
      <c r="O7" s="386" t="s">
        <v>164</v>
      </c>
      <c r="P7" s="375" t="s">
        <v>165</v>
      </c>
      <c r="Q7" s="375" t="s">
        <v>166</v>
      </c>
      <c r="R7" s="386" t="s">
        <v>167</v>
      </c>
      <c r="S7" s="386" t="s">
        <v>168</v>
      </c>
      <c r="T7" s="386" t="s">
        <v>169</v>
      </c>
      <c r="U7" s="386" t="s">
        <v>170</v>
      </c>
      <c r="V7" s="386" t="s">
        <v>171</v>
      </c>
      <c r="W7" s="375" t="s">
        <v>172</v>
      </c>
      <c r="X7" s="386" t="s">
        <v>173</v>
      </c>
      <c r="Y7" s="386" t="s">
        <v>174</v>
      </c>
      <c r="Z7" s="375" t="s">
        <v>175</v>
      </c>
      <c r="AA7" s="386" t="s">
        <v>176</v>
      </c>
      <c r="AB7" s="386" t="s">
        <v>178</v>
      </c>
      <c r="AC7" s="375" t="s">
        <v>192</v>
      </c>
      <c r="AD7" s="375" t="s">
        <v>239</v>
      </c>
      <c r="AE7" s="375" t="s">
        <v>240</v>
      </c>
    </row>
    <row r="8" spans="1:40" ht="24" customHeight="1">
      <c r="A8" s="381"/>
      <c r="B8" s="382"/>
      <c r="C8" s="383"/>
      <c r="D8" s="383"/>
      <c r="E8" s="383"/>
      <c r="F8" s="383"/>
      <c r="G8" s="383"/>
      <c r="H8" s="762" t="s">
        <v>204</v>
      </c>
      <c r="I8" s="763"/>
      <c r="J8" s="763"/>
      <c r="K8" s="764"/>
      <c r="L8" s="384"/>
      <c r="M8" s="385"/>
      <c r="AI8" s="447" t="s">
        <v>241</v>
      </c>
      <c r="AJ8" s="388" t="s">
        <v>14</v>
      </c>
      <c r="AK8" s="389" t="s">
        <v>242</v>
      </c>
      <c r="AL8" s="390" t="s">
        <v>243</v>
      </c>
      <c r="AM8" s="391"/>
      <c r="AN8" s="391" t="s">
        <v>244</v>
      </c>
    </row>
    <row r="9" spans="1:40" ht="24" customHeight="1">
      <c r="A9" s="381"/>
      <c r="B9" s="382"/>
      <c r="C9" s="383"/>
      <c r="D9" s="383"/>
      <c r="E9" s="383"/>
      <c r="F9" s="383"/>
      <c r="G9" s="383"/>
      <c r="H9" s="762" t="s">
        <v>205</v>
      </c>
      <c r="I9" s="763"/>
      <c r="J9" s="763"/>
      <c r="K9" s="764"/>
      <c r="L9" s="384"/>
      <c r="M9" s="385"/>
      <c r="N9" s="392">
        <f>SUM(O9:AB9)</f>
        <v>2754.9592476500002</v>
      </c>
      <c r="O9" s="393">
        <v>63.05</v>
      </c>
      <c r="P9" s="393">
        <v>363.36509999999998</v>
      </c>
      <c r="Q9" s="393">
        <v>157.61449099999999</v>
      </c>
      <c r="R9" s="393">
        <v>122.296868</v>
      </c>
      <c r="S9" s="393"/>
      <c r="T9" s="393">
        <v>687.09411299999999</v>
      </c>
      <c r="U9" s="394">
        <v>432.493359</v>
      </c>
      <c r="V9" s="393"/>
      <c r="W9" s="393">
        <v>567.82270000000005</v>
      </c>
      <c r="X9" s="393">
        <v>128.228759</v>
      </c>
      <c r="Y9" s="393">
        <v>39.988</v>
      </c>
      <c r="AA9" s="326">
        <v>103.4341</v>
      </c>
      <c r="AB9" s="393">
        <v>89.571757649999995</v>
      </c>
      <c r="AC9" s="368">
        <f>SUM(O9:AB9)</f>
        <v>2754.9592476500002</v>
      </c>
      <c r="AE9" s="368">
        <f>AC9</f>
        <v>2754.9592476500002</v>
      </c>
      <c r="AI9" s="395">
        <v>1</v>
      </c>
      <c r="AJ9" s="396" t="s">
        <v>245</v>
      </c>
      <c r="AK9" s="397">
        <v>172677500</v>
      </c>
      <c r="AL9" s="398">
        <v>13.36</v>
      </c>
      <c r="AM9" s="399" t="e">
        <f t="shared" ref="AM9:AM25" si="0">AL9*AK9/$C$13</f>
        <v>#DIV/0!</v>
      </c>
      <c r="AN9" s="399">
        <f>AL9*AK9/AK9</f>
        <v>13.36</v>
      </c>
    </row>
    <row r="10" spans="1:40" ht="24" customHeight="1">
      <c r="A10" s="381"/>
      <c r="B10" s="382"/>
      <c r="C10" s="383"/>
      <c r="D10" s="383"/>
      <c r="E10" s="383"/>
      <c r="F10" s="383"/>
      <c r="G10" s="383"/>
      <c r="I10" s="400" t="s">
        <v>54</v>
      </c>
      <c r="J10" s="472">
        <v>84.26</v>
      </c>
      <c r="K10" s="573" t="s">
        <v>51</v>
      </c>
      <c r="L10" s="384"/>
      <c r="M10" s="385"/>
      <c r="N10" s="368">
        <f>(O10*O9+P10*P9+Q10*Q9+R10*R9+S10*S9+T10*T9+U10*U9+V10*V9+W10*W9+X10*X9+Y10*Y9+Z10*Z9+AA10*AA9+AB10*AB9)/N9</f>
        <v>84.754654906071266</v>
      </c>
      <c r="O10" s="393">
        <v>100</v>
      </c>
      <c r="P10" s="393">
        <v>63.46</v>
      </c>
      <c r="Q10" s="393">
        <v>51.39</v>
      </c>
      <c r="R10" s="393">
        <v>100</v>
      </c>
      <c r="S10" s="393"/>
      <c r="T10" s="393">
        <v>100</v>
      </c>
      <c r="U10" s="393">
        <v>98.85</v>
      </c>
      <c r="V10" s="393"/>
      <c r="W10" s="401">
        <v>77.599999999999994</v>
      </c>
      <c r="X10" s="393">
        <v>66.87</v>
      </c>
      <c r="Y10" s="393">
        <v>100</v>
      </c>
      <c r="AA10" s="393">
        <v>71.75</v>
      </c>
      <c r="AB10" s="393">
        <v>92.47</v>
      </c>
      <c r="AC10" s="402">
        <f>J10</f>
        <v>84.26</v>
      </c>
      <c r="AE10" s="402">
        <f>J10</f>
        <v>84.26</v>
      </c>
      <c r="AI10" s="395">
        <v>2</v>
      </c>
      <c r="AJ10" s="396" t="s">
        <v>246</v>
      </c>
      <c r="AK10" s="397">
        <v>525283600</v>
      </c>
      <c r="AL10" s="398">
        <v>35.229999999999997</v>
      </c>
      <c r="AM10" s="399" t="e">
        <f t="shared" si="0"/>
        <v>#DIV/0!</v>
      </c>
      <c r="AN10" s="399">
        <f t="shared" ref="AN10:AN23" si="1">(AL10*AK10/AK10)</f>
        <v>35.229999999999997</v>
      </c>
    </row>
    <row r="11" spans="1:40" ht="24" customHeight="1">
      <c r="A11" s="507"/>
      <c r="B11" s="508"/>
      <c r="C11" s="509"/>
      <c r="D11" s="509"/>
      <c r="E11" s="509"/>
      <c r="F11" s="509"/>
      <c r="G11" s="509"/>
      <c r="H11" s="768"/>
      <c r="I11" s="769"/>
      <c r="J11" s="769"/>
      <c r="K11" s="770"/>
      <c r="L11" s="510"/>
      <c r="M11" s="376"/>
      <c r="AE11" s="368" t="s">
        <v>20</v>
      </c>
      <c r="AI11" s="395"/>
      <c r="AJ11" s="396" t="s">
        <v>247</v>
      </c>
      <c r="AK11" s="397">
        <v>63771100</v>
      </c>
      <c r="AL11" s="398">
        <v>0.28000000000000003</v>
      </c>
      <c r="AM11" s="399" t="e">
        <f t="shared" si="0"/>
        <v>#DIV/0!</v>
      </c>
      <c r="AN11" s="399"/>
    </row>
    <row r="12" spans="1:40" ht="24" customHeight="1">
      <c r="A12" s="379" t="s">
        <v>145</v>
      </c>
      <c r="B12" s="302">
        <v>16.36</v>
      </c>
      <c r="C12" s="506">
        <v>0.69</v>
      </c>
      <c r="D12" s="506">
        <v>0.72</v>
      </c>
      <c r="E12" s="506">
        <v>0.75</v>
      </c>
      <c r="F12" s="506">
        <v>0.78</v>
      </c>
      <c r="G12" s="506">
        <v>0.81</v>
      </c>
      <c r="H12" s="739" t="s">
        <v>206</v>
      </c>
      <c r="I12" s="739"/>
      <c r="J12" s="739"/>
      <c r="K12" s="740"/>
      <c r="L12" s="303">
        <v>5</v>
      </c>
      <c r="M12" s="380">
        <f>IF(L12=0,"-",ROUND(L12*B12/B$64,4))</f>
        <v>1.0462</v>
      </c>
      <c r="P12" s="368" t="s">
        <v>177</v>
      </c>
      <c r="Q12" s="368">
        <v>88227925</v>
      </c>
      <c r="R12" s="368">
        <v>454314777</v>
      </c>
      <c r="S12" s="368">
        <v>163703662</v>
      </c>
      <c r="T12" s="368">
        <v>340069114</v>
      </c>
      <c r="V12" s="368">
        <v>145609485</v>
      </c>
      <c r="W12" s="368">
        <v>376474997</v>
      </c>
      <c r="X12" s="368">
        <v>154664423</v>
      </c>
      <c r="Y12" s="368">
        <v>364453100</v>
      </c>
      <c r="Z12" s="368">
        <v>301496841</v>
      </c>
      <c r="AA12" s="368">
        <v>117859601</v>
      </c>
      <c r="AB12" s="368">
        <v>103922683</v>
      </c>
      <c r="AC12" s="368">
        <v>110709100</v>
      </c>
      <c r="AD12" s="368">
        <v>396724840</v>
      </c>
      <c r="AE12" s="368">
        <f>Q12+R12+S12+T12+V12+W12+X12+Y12+Z12+AA12+AB12+AC12+AD12</f>
        <v>3118230548</v>
      </c>
      <c r="AI12" s="395"/>
      <c r="AJ12" s="396" t="s">
        <v>248</v>
      </c>
      <c r="AK12" s="397">
        <v>85121200</v>
      </c>
      <c r="AL12" s="398">
        <v>2.0499999999999998</v>
      </c>
      <c r="AM12" s="399" t="e">
        <f t="shared" si="0"/>
        <v>#DIV/0!</v>
      </c>
      <c r="AN12" s="399"/>
    </row>
    <row r="13" spans="1:40" ht="24" customHeight="1">
      <c r="A13" s="381" t="s">
        <v>21</v>
      </c>
      <c r="B13" s="382"/>
      <c r="C13" s="383"/>
      <c r="D13" s="383"/>
      <c r="E13" s="383"/>
      <c r="F13" s="383"/>
      <c r="G13" s="383"/>
      <c r="H13" s="762" t="s">
        <v>207</v>
      </c>
      <c r="I13" s="763"/>
      <c r="J13" s="763"/>
      <c r="K13" s="764"/>
      <c r="L13" s="384"/>
      <c r="M13" s="385"/>
      <c r="P13" s="368" t="s">
        <v>179</v>
      </c>
      <c r="Q13" s="368">
        <v>62767727</v>
      </c>
      <c r="R13" s="368">
        <v>213672936</v>
      </c>
      <c r="S13" s="368">
        <v>25795924</v>
      </c>
      <c r="T13" s="368">
        <v>114556854</v>
      </c>
      <c r="V13" s="368">
        <v>128932639</v>
      </c>
      <c r="W13" s="368">
        <v>336587666</v>
      </c>
      <c r="X13" s="368">
        <v>52373847</v>
      </c>
      <c r="Y13" s="368">
        <v>90762837</v>
      </c>
      <c r="Z13" s="368">
        <v>241819557</v>
      </c>
      <c r="AA13" s="368">
        <v>53872593</v>
      </c>
      <c r="AB13" s="368">
        <v>20156387</v>
      </c>
      <c r="AC13" s="368">
        <v>73919342</v>
      </c>
      <c r="AD13" s="368">
        <v>64957443</v>
      </c>
      <c r="AE13" s="403">
        <f>Q13+R13+S13+T13+V13+W13+X13+Y13+Z13+AA13+AB13+AC13+AD13</f>
        <v>1480175752</v>
      </c>
      <c r="AI13" s="395"/>
      <c r="AJ13" s="396" t="s">
        <v>249</v>
      </c>
      <c r="AK13" s="397">
        <v>115875000</v>
      </c>
      <c r="AL13" s="398">
        <v>0</v>
      </c>
      <c r="AM13" s="399" t="e">
        <f t="shared" si="0"/>
        <v>#DIV/0!</v>
      </c>
      <c r="AN13" s="399"/>
    </row>
    <row r="14" spans="1:40" ht="24" customHeight="1">
      <c r="A14" s="381"/>
      <c r="B14" s="382"/>
      <c r="C14" s="383"/>
      <c r="D14" s="383"/>
      <c r="E14" s="383"/>
      <c r="F14" s="383"/>
      <c r="G14" s="383"/>
      <c r="H14" s="762" t="s">
        <v>299</v>
      </c>
      <c r="I14" s="763"/>
      <c r="J14" s="763"/>
      <c r="K14" s="764"/>
      <c r="L14" s="384"/>
      <c r="M14" s="385"/>
      <c r="P14" s="368" t="s">
        <v>194</v>
      </c>
      <c r="Q14" s="368">
        <v>19.71</v>
      </c>
      <c r="R14" s="368">
        <v>38.619999999999997</v>
      </c>
      <c r="S14" s="368">
        <v>5.8</v>
      </c>
      <c r="T14" s="368">
        <v>21.95</v>
      </c>
      <c r="AE14" s="404">
        <f>(AE13/AE12)*100</f>
        <v>47.468451393030229</v>
      </c>
      <c r="AI14" s="395">
        <v>4</v>
      </c>
      <c r="AJ14" s="396" t="s">
        <v>250</v>
      </c>
      <c r="AK14" s="397">
        <v>1039701600</v>
      </c>
      <c r="AL14" s="398">
        <v>5.62</v>
      </c>
      <c r="AM14" s="399" t="e">
        <f t="shared" si="0"/>
        <v>#DIV/0!</v>
      </c>
      <c r="AN14" s="399">
        <f t="shared" si="1"/>
        <v>5.62</v>
      </c>
    </row>
    <row r="15" spans="1:40" ht="24" customHeight="1">
      <c r="A15" s="381"/>
      <c r="B15" s="382"/>
      <c r="C15" s="383"/>
      <c r="D15" s="383"/>
      <c r="E15" s="383"/>
      <c r="F15" s="383"/>
      <c r="G15" s="383"/>
      <c r="H15" s="577"/>
      <c r="I15" s="400" t="s">
        <v>199</v>
      </c>
      <c r="J15" s="472">
        <v>97.44</v>
      </c>
      <c r="K15" s="573" t="s">
        <v>51</v>
      </c>
      <c r="L15" s="384"/>
      <c r="M15" s="385"/>
      <c r="Q15" s="368">
        <f>(Q12*Q14)/AE12</f>
        <v>0.55767922704283635</v>
      </c>
      <c r="R15" s="368">
        <f>(R12*R14)/AE12</f>
        <v>5.6267926369310901</v>
      </c>
      <c r="S15" s="368">
        <f>(S12*S14)/AE12</f>
        <v>0.3044935982071586</v>
      </c>
      <c r="T15" s="368">
        <f>(T12*T14)/AE12</f>
        <v>2.3938310325026038</v>
      </c>
      <c r="V15" s="368">
        <f>(V12*V14)/AE12</f>
        <v>0</v>
      </c>
      <c r="W15" s="368">
        <f>(W12*W14)/AE12</f>
        <v>0</v>
      </c>
      <c r="X15" s="368">
        <f>(X12*X14)/AE12</f>
        <v>0</v>
      </c>
      <c r="Y15" s="368">
        <f>(Y12*Y14)/AE12</f>
        <v>0</v>
      </c>
      <c r="Z15" s="368">
        <f>(Z12*Z14)/AE12</f>
        <v>0</v>
      </c>
      <c r="AA15" s="368">
        <f>(AA12*AA14)/AE12</f>
        <v>0</v>
      </c>
      <c r="AB15" s="368">
        <f>(AB12*AB14)/AE12</f>
        <v>0</v>
      </c>
      <c r="AC15" s="368">
        <f>(AC12*AC14)/AE12</f>
        <v>0</v>
      </c>
      <c r="AD15" s="368">
        <f>(AD12*AD14)/AE12</f>
        <v>0</v>
      </c>
      <c r="AE15" s="368">
        <f>(Q15+R15+S15+T15+V15+W15+X15+Y15+Z15+AA15+AB15+AC15+AD15)/AE12</f>
        <v>2.8486657281903096E-9</v>
      </c>
      <c r="AI15" s="395">
        <v>5</v>
      </c>
      <c r="AJ15" s="396" t="s">
        <v>251</v>
      </c>
      <c r="AK15" s="397">
        <v>636679600</v>
      </c>
      <c r="AL15" s="398">
        <v>13.07</v>
      </c>
      <c r="AM15" s="399" t="e">
        <f t="shared" si="0"/>
        <v>#DIV/0!</v>
      </c>
      <c r="AN15" s="399">
        <f t="shared" si="1"/>
        <v>13.07</v>
      </c>
    </row>
    <row r="16" spans="1:40" ht="24" customHeight="1">
      <c r="A16" s="507"/>
      <c r="B16" s="508"/>
      <c r="C16" s="509"/>
      <c r="D16" s="509"/>
      <c r="E16" s="509"/>
      <c r="F16" s="509"/>
      <c r="G16" s="509"/>
      <c r="H16" s="511"/>
      <c r="I16" s="512"/>
      <c r="J16" s="513"/>
      <c r="K16" s="514"/>
      <c r="L16" s="510"/>
      <c r="M16" s="376"/>
      <c r="S16" s="368">
        <v>278676</v>
      </c>
      <c r="AI16" s="395">
        <v>8</v>
      </c>
      <c r="AJ16" s="396" t="s">
        <v>252</v>
      </c>
      <c r="AK16" s="397">
        <v>168866326</v>
      </c>
      <c r="AL16" s="398">
        <v>25.53</v>
      </c>
      <c r="AM16" s="399" t="e">
        <f t="shared" si="0"/>
        <v>#DIV/0!</v>
      </c>
      <c r="AN16" s="399">
        <f t="shared" si="1"/>
        <v>25.529999999999998</v>
      </c>
    </row>
    <row r="17" spans="1:40" ht="24" customHeight="1">
      <c r="A17" s="379" t="s">
        <v>146</v>
      </c>
      <c r="B17" s="302">
        <v>5.45</v>
      </c>
      <c r="C17" s="405">
        <v>0.92</v>
      </c>
      <c r="D17" s="405">
        <v>0.94</v>
      </c>
      <c r="E17" s="405">
        <v>0.96</v>
      </c>
      <c r="F17" s="405">
        <v>0.98</v>
      </c>
      <c r="G17" s="405">
        <v>1</v>
      </c>
      <c r="H17" s="738" t="s">
        <v>312</v>
      </c>
      <c r="I17" s="739"/>
      <c r="J17" s="739"/>
      <c r="K17" s="740"/>
      <c r="L17" s="303">
        <v>4.9950000000000001</v>
      </c>
      <c r="M17" s="380">
        <f>IF(L17=0,"-",ROUND(L17*B17/B$64,4))</f>
        <v>0.34820000000000001</v>
      </c>
      <c r="S17" s="368">
        <v>6516821</v>
      </c>
      <c r="AI17" s="395">
        <v>9</v>
      </c>
      <c r="AJ17" s="396" t="s">
        <v>253</v>
      </c>
      <c r="AK17" s="397">
        <v>189999700</v>
      </c>
      <c r="AL17" s="398">
        <v>3.53</v>
      </c>
      <c r="AM17" s="399" t="e">
        <f t="shared" si="0"/>
        <v>#DIV/0!</v>
      </c>
      <c r="AN17" s="399">
        <f>(AL17*AK17/(AK17+AK18+AK19))+(AL18*AK18/(AK17+AK18+AK19))+(AL19*AK19/(AK17+AK18+AK19))</f>
        <v>17.929695702793666</v>
      </c>
    </row>
    <row r="18" spans="1:40" ht="24" customHeight="1">
      <c r="A18" s="381" t="s">
        <v>23</v>
      </c>
      <c r="B18" s="382"/>
      <c r="C18" s="383"/>
      <c r="D18" s="383"/>
      <c r="E18" s="383"/>
      <c r="F18" s="383"/>
      <c r="G18" s="383"/>
      <c r="H18" s="762" t="s">
        <v>313</v>
      </c>
      <c r="I18" s="763"/>
      <c r="J18" s="763"/>
      <c r="K18" s="764"/>
      <c r="L18" s="384"/>
      <c r="M18" s="385"/>
      <c r="S18" s="368">
        <v>59800</v>
      </c>
      <c r="AI18" s="395"/>
      <c r="AJ18" s="396" t="s">
        <v>254</v>
      </c>
      <c r="AK18" s="397">
        <v>93741300</v>
      </c>
      <c r="AL18" s="398">
        <v>63.29</v>
      </c>
      <c r="AM18" s="399" t="e">
        <f t="shared" si="0"/>
        <v>#DIV/0!</v>
      </c>
      <c r="AN18" s="399"/>
    </row>
    <row r="19" spans="1:40" ht="24" customHeight="1">
      <c r="A19" s="381" t="s">
        <v>24</v>
      </c>
      <c r="B19" s="382"/>
      <c r="C19" s="383"/>
      <c r="D19" s="383"/>
      <c r="E19" s="383"/>
      <c r="F19" s="383"/>
      <c r="G19" s="383"/>
      <c r="H19" s="762" t="s">
        <v>272</v>
      </c>
      <c r="I19" s="763"/>
      <c r="J19" s="763"/>
      <c r="K19" s="764"/>
      <c r="L19" s="384"/>
      <c r="M19" s="385"/>
      <c r="S19" s="368">
        <v>709266</v>
      </c>
      <c r="AI19" s="395"/>
      <c r="AJ19" s="396" t="s">
        <v>255</v>
      </c>
      <c r="AK19" s="397">
        <v>84563400</v>
      </c>
      <c r="AL19" s="398">
        <v>0</v>
      </c>
      <c r="AM19" s="399" t="e">
        <f t="shared" si="0"/>
        <v>#DIV/0!</v>
      </c>
      <c r="AN19" s="399"/>
    </row>
    <row r="20" spans="1:40" ht="24" customHeight="1">
      <c r="A20" s="381"/>
      <c r="B20" s="382"/>
      <c r="C20" s="383"/>
      <c r="D20" s="383"/>
      <c r="E20" s="383"/>
      <c r="F20" s="383"/>
      <c r="G20" s="383"/>
      <c r="H20" s="577" t="s">
        <v>200</v>
      </c>
      <c r="I20" s="400" t="s">
        <v>56</v>
      </c>
      <c r="J20" s="472">
        <v>99.99</v>
      </c>
      <c r="K20" s="573" t="s">
        <v>51</v>
      </c>
      <c r="L20" s="384"/>
      <c r="M20" s="385"/>
      <c r="S20" s="368">
        <v>10951834</v>
      </c>
      <c r="W20" s="368">
        <v>304044</v>
      </c>
      <c r="X20" s="368">
        <v>12443540</v>
      </c>
      <c r="Z20" s="368">
        <v>12690293</v>
      </c>
      <c r="AD20" s="368">
        <v>16191016</v>
      </c>
      <c r="AI20" s="395">
        <v>10</v>
      </c>
      <c r="AJ20" s="396" t="s">
        <v>256</v>
      </c>
      <c r="AK20" s="397">
        <v>305794900</v>
      </c>
      <c r="AL20" s="398">
        <v>18.23</v>
      </c>
      <c r="AM20" s="399" t="e">
        <f t="shared" si="0"/>
        <v>#DIV/0!</v>
      </c>
      <c r="AN20" s="399">
        <f>(AL20*AK20/AK20)</f>
        <v>18.23</v>
      </c>
    </row>
    <row r="21" spans="1:40" ht="24" customHeight="1">
      <c r="A21" s="381"/>
      <c r="B21" s="382"/>
      <c r="C21" s="383"/>
      <c r="D21" s="383"/>
      <c r="E21" s="383"/>
      <c r="F21" s="383"/>
      <c r="G21" s="383"/>
      <c r="H21" s="424"/>
      <c r="I21" s="425"/>
      <c r="J21" s="425"/>
      <c r="K21" s="426"/>
      <c r="L21" s="384"/>
      <c r="M21" s="385"/>
      <c r="AI21" s="395"/>
      <c r="AJ21" s="396" t="s">
        <v>257</v>
      </c>
      <c r="AK21" s="397">
        <v>391412000</v>
      </c>
      <c r="AL21" s="398">
        <v>0</v>
      </c>
      <c r="AM21" s="399" t="e">
        <f t="shared" si="0"/>
        <v>#DIV/0!</v>
      </c>
      <c r="AN21" s="399"/>
    </row>
    <row r="22" spans="1:40" ht="24" customHeight="1">
      <c r="A22" s="379" t="s">
        <v>147</v>
      </c>
      <c r="B22" s="302">
        <v>5.45</v>
      </c>
      <c r="C22" s="405">
        <v>0.96</v>
      </c>
      <c r="D22" s="405">
        <v>0.97</v>
      </c>
      <c r="E22" s="405">
        <v>0.98</v>
      </c>
      <c r="F22" s="405">
        <v>0.99</v>
      </c>
      <c r="G22" s="405">
        <v>1</v>
      </c>
      <c r="H22" s="738" t="s">
        <v>300</v>
      </c>
      <c r="I22" s="739"/>
      <c r="J22" s="739"/>
      <c r="K22" s="740"/>
      <c r="L22" s="303">
        <v>5</v>
      </c>
      <c r="M22" s="380">
        <f>IF(L22=0,"-",ROUND(L22*B22/B$64,4))</f>
        <v>0.34849999999999998</v>
      </c>
      <c r="Q22" s="368" t="s">
        <v>164</v>
      </c>
      <c r="R22" s="368" t="s">
        <v>165</v>
      </c>
      <c r="S22" s="368" t="s">
        <v>166</v>
      </c>
      <c r="T22" s="368" t="s">
        <v>167</v>
      </c>
      <c r="U22" s="368" t="s">
        <v>168</v>
      </c>
      <c r="V22" s="368" t="s">
        <v>169</v>
      </c>
      <c r="W22" s="368" t="s">
        <v>170</v>
      </c>
      <c r="X22" s="368" t="s">
        <v>171</v>
      </c>
      <c r="Y22" s="368" t="s">
        <v>172</v>
      </c>
      <c r="Z22" s="368" t="s">
        <v>173</v>
      </c>
      <c r="AA22" s="368" t="s">
        <v>174</v>
      </c>
      <c r="AB22" s="368" t="s">
        <v>175</v>
      </c>
      <c r="AC22" s="368" t="s">
        <v>176</v>
      </c>
      <c r="AD22" s="368" t="s">
        <v>178</v>
      </c>
      <c r="AE22" s="368" t="s">
        <v>20</v>
      </c>
      <c r="AI22" s="395"/>
      <c r="AJ22" s="396" t="s">
        <v>258</v>
      </c>
      <c r="AK22" s="397">
        <v>72151000</v>
      </c>
      <c r="AL22" s="398">
        <v>20.47</v>
      </c>
      <c r="AM22" s="399" t="e">
        <f t="shared" si="0"/>
        <v>#DIV/0!</v>
      </c>
      <c r="AN22" s="399"/>
    </row>
    <row r="23" spans="1:40" ht="24" customHeight="1">
      <c r="A23" s="381" t="s">
        <v>26</v>
      </c>
      <c r="B23" s="382"/>
      <c r="C23" s="383"/>
      <c r="D23" s="383"/>
      <c r="E23" s="383"/>
      <c r="F23" s="383"/>
      <c r="G23" s="383"/>
      <c r="H23" s="765" t="s">
        <v>301</v>
      </c>
      <c r="I23" s="766"/>
      <c r="J23" s="766"/>
      <c r="K23" s="767"/>
      <c r="L23" s="384"/>
      <c r="M23" s="385"/>
      <c r="P23" s="368" t="s">
        <v>179</v>
      </c>
      <c r="Q23" s="368">
        <v>0</v>
      </c>
      <c r="R23" s="368" t="e">
        <f>R25+#REF!</f>
        <v>#REF!</v>
      </c>
      <c r="S23" s="368" t="e">
        <f>S25+#REF!+S26+#REF!+#REF!+#REF!+#REF!+#REF!</f>
        <v>#REF!</v>
      </c>
      <c r="T23" s="368">
        <v>15621046</v>
      </c>
      <c r="W23" s="368" t="e">
        <f>W25+#REF!</f>
        <v>#REF!</v>
      </c>
      <c r="X23" s="368" t="e">
        <f>X25+#REF!</f>
        <v>#REF!</v>
      </c>
      <c r="Y23" s="368">
        <v>3065219</v>
      </c>
      <c r="Z23" s="368" t="e">
        <f>Z25+#REF!</f>
        <v>#REF!</v>
      </c>
      <c r="AA23" s="368">
        <v>5762411</v>
      </c>
      <c r="AB23" s="368">
        <v>15507983</v>
      </c>
      <c r="AD23" s="368" t="e">
        <f>AD25+#REF!</f>
        <v>#REF!</v>
      </c>
      <c r="AE23" s="368" t="e">
        <f>Q23+R23+S23+T23+W23+X23+Y23+AA23+AB23+AD23</f>
        <v>#REF!</v>
      </c>
      <c r="AF23" s="368" t="e">
        <f>AE23/AE24*100</f>
        <v>#REF!</v>
      </c>
      <c r="AG23" s="368" t="e">
        <f>R23+T23+W23+X23+Y23+Z23+AA23+AB23+AD23</f>
        <v>#REF!</v>
      </c>
      <c r="AH23" s="368" t="e">
        <f>AG23/AG24*100</f>
        <v>#REF!</v>
      </c>
      <c r="AI23" s="395">
        <v>12</v>
      </c>
      <c r="AJ23" s="396" t="s">
        <v>259</v>
      </c>
      <c r="AK23" s="397">
        <v>232129108</v>
      </c>
      <c r="AL23" s="398">
        <v>8.2200000000000006</v>
      </c>
      <c r="AM23" s="399" t="e">
        <f t="shared" si="0"/>
        <v>#DIV/0!</v>
      </c>
      <c r="AN23" s="399">
        <f t="shared" si="1"/>
        <v>8.2200000000000006</v>
      </c>
    </row>
    <row r="24" spans="1:40" ht="24" customHeight="1">
      <c r="A24" s="381"/>
      <c r="B24" s="382"/>
      <c r="C24" s="383"/>
      <c r="D24" s="383"/>
      <c r="E24" s="383"/>
      <c r="F24" s="383"/>
      <c r="G24" s="383"/>
      <c r="H24" s="765" t="s">
        <v>302</v>
      </c>
      <c r="I24" s="766"/>
      <c r="J24" s="766"/>
      <c r="K24" s="767"/>
      <c r="L24" s="384"/>
      <c r="M24" s="385"/>
      <c r="P24" s="368" t="s">
        <v>177</v>
      </c>
      <c r="Q24" s="368">
        <v>0</v>
      </c>
      <c r="R24" s="368" t="e">
        <f>#REF!+R20</f>
        <v>#REF!</v>
      </c>
      <c r="S24" s="368" t="e">
        <f>#REF!+S20+S19+S18+S17+S16+#REF!+#REF!</f>
        <v>#REF!</v>
      </c>
      <c r="T24" s="368">
        <v>31415454</v>
      </c>
      <c r="W24" s="368" t="e">
        <f>#REF!+W20</f>
        <v>#REF!</v>
      </c>
      <c r="X24" s="368" t="e">
        <f>#REF!+X20</f>
        <v>#REF!</v>
      </c>
      <c r="Y24" s="368">
        <v>3065219</v>
      </c>
      <c r="Z24" s="368" t="e">
        <f>#REF!+Z20</f>
        <v>#REF!</v>
      </c>
      <c r="AA24" s="368">
        <v>5836386</v>
      </c>
      <c r="AB24" s="368">
        <v>15507983</v>
      </c>
      <c r="AD24" s="368" t="e">
        <f>#REF!+AD20</f>
        <v>#REF!</v>
      </c>
      <c r="AE24" s="368" t="e">
        <f>Q24+R24+S24+T24+W24+X24+Y24+Z24+AA24+AB24+AD24</f>
        <v>#REF!</v>
      </c>
      <c r="AG24" s="368" t="e">
        <f>R24+T24+W24+X24+Y24+Z24+AA24+AB24</f>
        <v>#REF!</v>
      </c>
      <c r="AI24" s="395">
        <v>13</v>
      </c>
      <c r="AJ24" s="396" t="s">
        <v>260</v>
      </c>
      <c r="AK24" s="397">
        <v>75897000</v>
      </c>
      <c r="AL24" s="398">
        <v>11.23</v>
      </c>
      <c r="AM24" s="399" t="e">
        <f t="shared" si="0"/>
        <v>#DIV/0!</v>
      </c>
      <c r="AN24" s="399" t="e">
        <f>(AL24*AK24/(AK24+AK25+#REF!))+(AL25*AK25/(AK24+AK25+#REF!))+(#REF!*#REF!/(AK24+AK25+#REF!))</f>
        <v>#REF!</v>
      </c>
    </row>
    <row r="25" spans="1:40" ht="24" customHeight="1">
      <c r="A25" s="381"/>
      <c r="B25" s="382"/>
      <c r="C25" s="383"/>
      <c r="D25" s="383"/>
      <c r="E25" s="383"/>
      <c r="F25" s="383"/>
      <c r="G25" s="383"/>
      <c r="H25" s="571"/>
      <c r="I25" s="400" t="s">
        <v>56</v>
      </c>
      <c r="J25" s="472">
        <v>100</v>
      </c>
      <c r="K25" s="573" t="s">
        <v>51</v>
      </c>
      <c r="L25" s="384"/>
      <c r="M25" s="385"/>
      <c r="R25" s="368">
        <v>790426</v>
      </c>
      <c r="S25" s="368">
        <v>5889465</v>
      </c>
      <c r="W25" s="368">
        <v>28318909</v>
      </c>
      <c r="X25" s="368">
        <v>45861247</v>
      </c>
      <c r="Z25" s="368">
        <v>117026964</v>
      </c>
      <c r="AD25" s="368">
        <v>7959313</v>
      </c>
      <c r="AI25" s="395"/>
      <c r="AJ25" s="396" t="s">
        <v>261</v>
      </c>
      <c r="AK25" s="397">
        <v>28808000</v>
      </c>
      <c r="AL25" s="398">
        <v>79.489999999999995</v>
      </c>
      <c r="AM25" s="399" t="e">
        <f t="shared" si="0"/>
        <v>#DIV/0!</v>
      </c>
      <c r="AN25" s="399"/>
    </row>
    <row r="26" spans="1:40" ht="24" customHeight="1">
      <c r="A26" s="507"/>
      <c r="B26" s="508"/>
      <c r="C26" s="509"/>
      <c r="D26" s="509"/>
      <c r="E26" s="509"/>
      <c r="F26" s="509"/>
      <c r="G26" s="509"/>
      <c r="H26" s="511"/>
      <c r="I26" s="587"/>
      <c r="J26" s="587"/>
      <c r="K26" s="588"/>
      <c r="L26" s="510"/>
      <c r="M26" s="376"/>
      <c r="S26" s="368">
        <v>673915</v>
      </c>
      <c r="AI26" s="771" t="s">
        <v>20</v>
      </c>
      <c r="AJ26" s="772"/>
      <c r="AK26" s="408">
        <f>SUM(AK9:AK25)</f>
        <v>4282472334</v>
      </c>
      <c r="AL26" s="409" t="e">
        <f>SUM(AM9:AM25)</f>
        <v>#DIV/0!</v>
      </c>
      <c r="AM26" s="399"/>
      <c r="AN26" s="399"/>
    </row>
    <row r="27" spans="1:40" ht="24" customHeight="1">
      <c r="A27" s="379" t="s">
        <v>160</v>
      </c>
      <c r="B27" s="302">
        <v>5.45</v>
      </c>
      <c r="C27" s="405">
        <v>0.5</v>
      </c>
      <c r="D27" s="405">
        <v>0.75</v>
      </c>
      <c r="E27" s="405">
        <v>1</v>
      </c>
      <c r="F27" s="405">
        <v>1</v>
      </c>
      <c r="G27" s="405">
        <v>1</v>
      </c>
      <c r="H27" s="738" t="s">
        <v>309</v>
      </c>
      <c r="I27" s="739"/>
      <c r="J27" s="739"/>
      <c r="K27" s="740"/>
      <c r="L27" s="303">
        <v>5</v>
      </c>
      <c r="M27" s="380">
        <f>IF(L27=0,"-",ROUND(L27*B27/B$64,4))</f>
        <v>0.34849999999999998</v>
      </c>
      <c r="AI27" s="395">
        <v>9</v>
      </c>
      <c r="AJ27" s="396" t="s">
        <v>271</v>
      </c>
      <c r="AK27" s="397">
        <v>300000</v>
      </c>
      <c r="AL27" s="410">
        <v>0</v>
      </c>
      <c r="AM27" s="411"/>
      <c r="AN27" s="411">
        <f t="shared" ref="AN27:AN37" si="2">AL27*100/AK27</f>
        <v>0</v>
      </c>
    </row>
    <row r="28" spans="1:40" ht="24" customHeight="1">
      <c r="A28" s="381" t="s">
        <v>161</v>
      </c>
      <c r="B28" s="515"/>
      <c r="C28" s="516"/>
      <c r="D28" s="516"/>
      <c r="E28" s="516"/>
      <c r="F28" s="516" t="s">
        <v>70</v>
      </c>
      <c r="G28" s="516" t="s">
        <v>70</v>
      </c>
      <c r="H28" s="763" t="s">
        <v>213</v>
      </c>
      <c r="I28" s="763"/>
      <c r="J28" s="763"/>
      <c r="K28" s="764"/>
      <c r="L28" s="384"/>
      <c r="M28" s="385"/>
      <c r="AI28" s="395">
        <v>11</v>
      </c>
      <c r="AJ28" s="396" t="s">
        <v>273</v>
      </c>
      <c r="AK28" s="397">
        <v>500000</v>
      </c>
      <c r="AL28" s="410">
        <v>62536.11</v>
      </c>
      <c r="AM28" s="411"/>
      <c r="AN28" s="411">
        <f t="shared" si="2"/>
        <v>12.507222000000001</v>
      </c>
    </row>
    <row r="29" spans="1:40" ht="24" customHeight="1">
      <c r="A29" s="381" t="s">
        <v>310</v>
      </c>
      <c r="B29" s="515"/>
      <c r="C29" s="516"/>
      <c r="D29" s="516"/>
      <c r="E29" s="516"/>
      <c r="F29" s="516" t="s">
        <v>138</v>
      </c>
      <c r="G29" s="516" t="s">
        <v>139</v>
      </c>
      <c r="H29" s="577" t="s">
        <v>200</v>
      </c>
      <c r="I29" s="400" t="s">
        <v>56</v>
      </c>
      <c r="J29" s="472">
        <v>100</v>
      </c>
      <c r="K29" s="573" t="s">
        <v>51</v>
      </c>
      <c r="L29" s="384"/>
      <c r="M29" s="385"/>
      <c r="AI29" s="395"/>
      <c r="AJ29" s="396" t="s">
        <v>275</v>
      </c>
      <c r="AK29" s="397">
        <v>300000</v>
      </c>
      <c r="AL29" s="410">
        <v>57903.85</v>
      </c>
      <c r="AM29" s="411"/>
      <c r="AN29" s="411">
        <f t="shared" si="2"/>
        <v>19.301283333333334</v>
      </c>
    </row>
    <row r="30" spans="1:40" ht="24" customHeight="1">
      <c r="A30" s="507"/>
      <c r="B30" s="508"/>
      <c r="C30" s="509"/>
      <c r="D30" s="509"/>
      <c r="E30" s="509"/>
      <c r="F30" s="509"/>
      <c r="G30" s="509"/>
      <c r="H30" s="773"/>
      <c r="I30" s="774"/>
      <c r="J30" s="774"/>
      <c r="K30" s="775"/>
      <c r="L30" s="510"/>
      <c r="M30" s="376"/>
      <c r="AI30" s="395"/>
      <c r="AJ30" s="396" t="s">
        <v>276</v>
      </c>
      <c r="AK30" s="397">
        <v>300000</v>
      </c>
      <c r="AL30" s="410">
        <v>94848.7</v>
      </c>
      <c r="AM30" s="411"/>
      <c r="AN30" s="411">
        <f t="shared" si="2"/>
        <v>31.616233333333334</v>
      </c>
    </row>
    <row r="31" spans="1:40" ht="24" customHeight="1">
      <c r="A31" s="379" t="s">
        <v>149</v>
      </c>
      <c r="B31" s="302">
        <v>16.36</v>
      </c>
      <c r="C31" s="405">
        <v>0.75</v>
      </c>
      <c r="D31" s="405">
        <v>0.78</v>
      </c>
      <c r="E31" s="405">
        <v>0.81</v>
      </c>
      <c r="F31" s="405">
        <v>0.84</v>
      </c>
      <c r="G31" s="405">
        <v>0.87</v>
      </c>
      <c r="H31" s="738" t="s">
        <v>303</v>
      </c>
      <c r="I31" s="739"/>
      <c r="J31" s="739"/>
      <c r="K31" s="740"/>
      <c r="L31" s="303">
        <v>5</v>
      </c>
      <c r="M31" s="380">
        <f>IF(L31=0,"-",ROUND(L31*B31/B$64,4))</f>
        <v>1.0462</v>
      </c>
      <c r="AI31" s="395">
        <v>13</v>
      </c>
      <c r="AJ31" s="396" t="s">
        <v>281</v>
      </c>
      <c r="AK31" s="397">
        <v>300000</v>
      </c>
      <c r="AL31" s="410">
        <v>205897.2</v>
      </c>
      <c r="AM31" s="411"/>
      <c r="AN31" s="411">
        <f t="shared" si="2"/>
        <v>68.632400000000004</v>
      </c>
    </row>
    <row r="32" spans="1:40" ht="24" customHeight="1">
      <c r="A32" s="381" t="s">
        <v>137</v>
      </c>
      <c r="B32" s="382"/>
      <c r="C32" s="383"/>
      <c r="D32" s="383"/>
      <c r="E32" s="383"/>
      <c r="F32" s="383"/>
      <c r="G32" s="383"/>
      <c r="H32" s="762" t="s">
        <v>272</v>
      </c>
      <c r="I32" s="763"/>
      <c r="J32" s="763"/>
      <c r="K32" s="764"/>
      <c r="L32" s="384"/>
      <c r="M32" s="385"/>
      <c r="AI32" s="395"/>
      <c r="AJ32" s="396" t="s">
        <v>282</v>
      </c>
      <c r="AK32" s="397">
        <v>300000</v>
      </c>
      <c r="AL32" s="410">
        <v>100339.9</v>
      </c>
      <c r="AM32" s="411"/>
      <c r="AN32" s="411">
        <f t="shared" si="2"/>
        <v>33.446633333333331</v>
      </c>
    </row>
    <row r="33" spans="1:40" ht="24" customHeight="1">
      <c r="A33" s="381"/>
      <c r="B33" s="382"/>
      <c r="C33" s="383"/>
      <c r="D33" s="383"/>
      <c r="E33" s="383"/>
      <c r="F33" s="383"/>
      <c r="G33" s="383"/>
      <c r="H33" s="589"/>
      <c r="I33" s="589" t="s">
        <v>87</v>
      </c>
      <c r="J33" s="590">
        <v>327858000</v>
      </c>
      <c r="K33" s="573" t="s">
        <v>163</v>
      </c>
      <c r="L33" s="384"/>
      <c r="M33" s="385"/>
      <c r="AI33" s="395"/>
      <c r="AJ33" s="396" t="s">
        <v>283</v>
      </c>
      <c r="AK33" s="397">
        <v>300000</v>
      </c>
      <c r="AL33" s="410">
        <v>57000</v>
      </c>
      <c r="AM33" s="411"/>
      <c r="AN33" s="411">
        <f t="shared" si="2"/>
        <v>19</v>
      </c>
    </row>
    <row r="34" spans="1:40" ht="24" customHeight="1">
      <c r="A34" s="381"/>
      <c r="B34" s="382"/>
      <c r="C34" s="383"/>
      <c r="D34" s="383"/>
      <c r="E34" s="383"/>
      <c r="F34" s="383"/>
      <c r="G34" s="383"/>
      <c r="H34" s="589"/>
      <c r="I34" s="400" t="s">
        <v>195</v>
      </c>
      <c r="J34" s="591">
        <v>325531167</v>
      </c>
      <c r="K34" s="573" t="s">
        <v>163</v>
      </c>
      <c r="L34" s="384"/>
      <c r="M34" s="385"/>
      <c r="AI34" s="395"/>
      <c r="AJ34" s="396" t="s">
        <v>284</v>
      </c>
      <c r="AK34" s="397">
        <v>300000</v>
      </c>
      <c r="AL34" s="410">
        <v>54914.85</v>
      </c>
      <c r="AM34" s="411"/>
      <c r="AN34" s="411">
        <f t="shared" si="2"/>
        <v>18.304950000000002</v>
      </c>
    </row>
    <row r="35" spans="1:40" ht="24" customHeight="1">
      <c r="A35" s="381"/>
      <c r="B35" s="382"/>
      <c r="C35" s="383"/>
      <c r="D35" s="383"/>
      <c r="E35" s="383"/>
      <c r="F35" s="383"/>
      <c r="G35" s="383"/>
      <c r="H35" s="589"/>
      <c r="I35" s="400" t="s">
        <v>196</v>
      </c>
      <c r="J35" s="472">
        <v>97.37</v>
      </c>
      <c r="K35" s="573" t="s">
        <v>51</v>
      </c>
      <c r="L35" s="384"/>
      <c r="M35" s="385"/>
      <c r="AI35" s="395"/>
      <c r="AJ35" s="396" t="s">
        <v>285</v>
      </c>
      <c r="AK35" s="397">
        <v>300000</v>
      </c>
      <c r="AL35" s="410">
        <v>66279.649999999994</v>
      </c>
      <c r="AM35" s="411"/>
      <c r="AN35" s="411">
        <f t="shared" si="2"/>
        <v>22.093216666666663</v>
      </c>
    </row>
    <row r="36" spans="1:40" ht="24" customHeight="1">
      <c r="A36" s="507"/>
      <c r="B36" s="508"/>
      <c r="C36" s="509"/>
      <c r="D36" s="509"/>
      <c r="E36" s="509"/>
      <c r="F36" s="509"/>
      <c r="G36" s="509"/>
      <c r="H36" s="592"/>
      <c r="I36" s="587"/>
      <c r="J36" s="593"/>
      <c r="K36" s="588"/>
      <c r="L36" s="510"/>
      <c r="M36" s="376"/>
      <c r="AI36" s="395"/>
      <c r="AJ36" s="396" t="s">
        <v>286</v>
      </c>
      <c r="AK36" s="397">
        <v>500000</v>
      </c>
      <c r="AL36" s="410">
        <v>147338.20000000001</v>
      </c>
      <c r="AM36" s="411"/>
      <c r="AN36" s="411">
        <f t="shared" si="2"/>
        <v>29.467640000000003</v>
      </c>
    </row>
    <row r="37" spans="1:40" ht="24" customHeight="1">
      <c r="A37" s="379" t="s">
        <v>150</v>
      </c>
      <c r="B37" s="302">
        <v>1.87</v>
      </c>
      <c r="C37" s="405">
        <v>0.6</v>
      </c>
      <c r="D37" s="405">
        <v>0.65</v>
      </c>
      <c r="E37" s="405">
        <v>0.7</v>
      </c>
      <c r="F37" s="405">
        <v>0.75</v>
      </c>
      <c r="G37" s="405">
        <v>0.8</v>
      </c>
      <c r="H37" s="738" t="s">
        <v>222</v>
      </c>
      <c r="I37" s="739"/>
      <c r="J37" s="739"/>
      <c r="K37" s="740"/>
      <c r="L37" s="303">
        <v>5</v>
      </c>
      <c r="M37" s="380">
        <f>IF(L37=0,"-",ROUND(L37*B37/B$64,4))</f>
        <v>0.1196</v>
      </c>
      <c r="AI37" s="395"/>
      <c r="AJ37" s="396" t="s">
        <v>277</v>
      </c>
      <c r="AK37" s="397">
        <v>500000</v>
      </c>
      <c r="AL37" s="410">
        <v>150000</v>
      </c>
      <c r="AM37" s="411"/>
      <c r="AN37" s="411">
        <f t="shared" si="2"/>
        <v>30</v>
      </c>
    </row>
    <row r="38" spans="1:40" ht="24" customHeight="1">
      <c r="A38" s="381" t="s">
        <v>151</v>
      </c>
      <c r="B38" s="515"/>
      <c r="C38" s="594"/>
      <c r="D38" s="594"/>
      <c r="E38" s="594"/>
      <c r="F38" s="594"/>
      <c r="G38" s="594"/>
      <c r="H38" s="762" t="s">
        <v>223</v>
      </c>
      <c r="I38" s="763"/>
      <c r="J38" s="763"/>
      <c r="K38" s="764"/>
      <c r="L38" s="384"/>
      <c r="M38" s="385"/>
      <c r="AI38" s="395"/>
      <c r="AJ38" s="396"/>
      <c r="AK38" s="397" t="e">
        <f>#REF!+#REF!+#REF!+#REF!+#REF!+AK27+AK28+AK29+#REF!+AK30+AK31+AK32+AK33+AK34+AK35+AK36+AK37</f>
        <v>#REF!</v>
      </c>
      <c r="AL38" s="410" t="e">
        <f>#REF!+#REF!+#REF!+#REF!+#REF!+AL27+AL28+AL29+#REF!+AL30+AL31+AL32+AL33+AL34+AL35+AL36+AL37</f>
        <v>#REF!</v>
      </c>
      <c r="AM38" s="411"/>
      <c r="AN38" s="411" t="e">
        <f>AL38*100/AK38</f>
        <v>#REF!</v>
      </c>
    </row>
    <row r="39" spans="1:40" ht="24" customHeight="1">
      <c r="A39" s="381" t="s">
        <v>91</v>
      </c>
      <c r="B39" s="382"/>
      <c r="C39" s="383"/>
      <c r="D39" s="383"/>
      <c r="E39" s="383"/>
      <c r="F39" s="383"/>
      <c r="G39" s="383"/>
      <c r="H39" s="762" t="s">
        <v>224</v>
      </c>
      <c r="I39" s="763"/>
      <c r="J39" s="763"/>
      <c r="K39" s="764"/>
      <c r="L39" s="384"/>
      <c r="M39" s="385"/>
    </row>
    <row r="40" spans="1:40" ht="24" customHeight="1">
      <c r="A40" s="381"/>
      <c r="B40" s="382"/>
      <c r="C40" s="383"/>
      <c r="D40" s="383"/>
      <c r="E40" s="383"/>
      <c r="F40" s="383"/>
      <c r="G40" s="383"/>
      <c r="H40" s="577"/>
      <c r="I40" s="400" t="s">
        <v>97</v>
      </c>
      <c r="J40" s="591">
        <v>271</v>
      </c>
      <c r="K40" s="578" t="s">
        <v>96</v>
      </c>
      <c r="L40" s="384"/>
      <c r="M40" s="385"/>
    </row>
    <row r="41" spans="1:40" ht="24" customHeight="1">
      <c r="A41" s="381"/>
      <c r="B41" s="382"/>
      <c r="C41" s="383"/>
      <c r="D41" s="383"/>
      <c r="E41" s="383"/>
      <c r="F41" s="383"/>
      <c r="G41" s="383"/>
      <c r="H41" s="577"/>
      <c r="I41" s="400" t="s">
        <v>98</v>
      </c>
      <c r="J41" s="591">
        <v>271</v>
      </c>
      <c r="K41" s="578" t="s">
        <v>96</v>
      </c>
      <c r="L41" s="384"/>
      <c r="M41" s="385"/>
    </row>
    <row r="42" spans="1:40" ht="24" customHeight="1">
      <c r="A42" s="381"/>
      <c r="B42" s="382"/>
      <c r="C42" s="383"/>
      <c r="D42" s="383"/>
      <c r="E42" s="383"/>
      <c r="F42" s="383"/>
      <c r="G42" s="383"/>
      <c r="H42" s="571"/>
      <c r="I42" s="400" t="s">
        <v>35</v>
      </c>
      <c r="J42" s="486">
        <f>ROUND(J41*100/J40,2)</f>
        <v>100</v>
      </c>
      <c r="K42" s="573" t="s">
        <v>51</v>
      </c>
      <c r="L42" s="384"/>
      <c r="M42" s="385"/>
    </row>
    <row r="43" spans="1:40" ht="24" customHeight="1">
      <c r="A43" s="507"/>
      <c r="B43" s="508"/>
      <c r="C43" s="509"/>
      <c r="D43" s="509"/>
      <c r="E43" s="509"/>
      <c r="F43" s="509"/>
      <c r="G43" s="509"/>
      <c r="H43" s="595"/>
      <c r="I43" s="596"/>
      <c r="J43" s="596"/>
      <c r="K43" s="574"/>
      <c r="L43" s="510"/>
      <c r="M43" s="376"/>
    </row>
    <row r="44" spans="1:40" ht="24" customHeight="1">
      <c r="A44" s="597" t="s">
        <v>152</v>
      </c>
      <c r="B44" s="490">
        <v>5.45</v>
      </c>
      <c r="C44" s="598">
        <v>0.65</v>
      </c>
      <c r="D44" s="598">
        <v>0.7</v>
      </c>
      <c r="E44" s="598">
        <v>0.75</v>
      </c>
      <c r="F44" s="598">
        <v>0.8</v>
      </c>
      <c r="G44" s="598">
        <v>0.85</v>
      </c>
      <c r="H44" s="738" t="s">
        <v>225</v>
      </c>
      <c r="I44" s="739"/>
      <c r="J44" s="739"/>
      <c r="K44" s="740"/>
      <c r="L44" s="303">
        <v>4.7939999999999996</v>
      </c>
      <c r="M44" s="380">
        <f>IF(L44=0,"-",ROUND(L44*B44/B$64,4))</f>
        <v>0.3342</v>
      </c>
    </row>
    <row r="45" spans="1:40" ht="24" customHeight="1">
      <c r="A45" s="381" t="s">
        <v>153</v>
      </c>
      <c r="B45" s="382"/>
      <c r="C45" s="383"/>
      <c r="D45" s="383"/>
      <c r="E45" s="383"/>
      <c r="F45" s="383"/>
      <c r="G45" s="383"/>
      <c r="H45" s="762" t="s">
        <v>226</v>
      </c>
      <c r="I45" s="763"/>
      <c r="J45" s="763"/>
      <c r="K45" s="764"/>
      <c r="L45" s="384"/>
      <c r="M45" s="385"/>
    </row>
    <row r="46" spans="1:40" ht="24" customHeight="1">
      <c r="A46" s="599" t="s">
        <v>162</v>
      </c>
      <c r="B46" s="382"/>
      <c r="C46" s="383"/>
      <c r="D46" s="383"/>
      <c r="E46" s="383"/>
      <c r="F46" s="383"/>
      <c r="G46" s="383"/>
      <c r="H46" s="577" t="s">
        <v>200</v>
      </c>
      <c r="I46" s="600" t="s">
        <v>113</v>
      </c>
      <c r="J46" s="486">
        <v>83.97</v>
      </c>
      <c r="K46" s="573" t="s">
        <v>51</v>
      </c>
      <c r="L46" s="384"/>
      <c r="M46" s="385"/>
    </row>
    <row r="47" spans="1:40" ht="24" customHeight="1">
      <c r="A47" s="381"/>
      <c r="B47" s="382"/>
      <c r="C47" s="383"/>
      <c r="D47" s="383"/>
      <c r="E47" s="383"/>
      <c r="F47" s="383"/>
      <c r="G47" s="517"/>
      <c r="H47" s="601"/>
      <c r="I47" s="601"/>
      <c r="J47" s="601"/>
      <c r="K47" s="601"/>
      <c r="L47" s="384"/>
      <c r="M47" s="385"/>
    </row>
    <row r="48" spans="1:40" ht="24" customHeight="1">
      <c r="A48" s="379" t="s">
        <v>154</v>
      </c>
      <c r="B48" s="490">
        <v>5.45</v>
      </c>
      <c r="C48" s="496" t="s">
        <v>29</v>
      </c>
      <c r="D48" s="496" t="s">
        <v>30</v>
      </c>
      <c r="E48" s="496" t="s">
        <v>31</v>
      </c>
      <c r="F48" s="496" t="s">
        <v>32</v>
      </c>
      <c r="G48" s="496" t="s">
        <v>33</v>
      </c>
      <c r="H48" s="738" t="s">
        <v>227</v>
      </c>
      <c r="I48" s="739"/>
      <c r="J48" s="739"/>
      <c r="K48" s="740"/>
      <c r="L48" s="303">
        <v>1</v>
      </c>
      <c r="M48" s="380">
        <f>IF(L48=0,"-",ROUND(L48*B48/B$64,4))</f>
        <v>6.9699999999999998E-2</v>
      </c>
    </row>
    <row r="49" spans="1:34" ht="24" customHeight="1">
      <c r="A49" s="381" t="s">
        <v>107</v>
      </c>
      <c r="B49" s="382"/>
      <c r="C49" s="497">
        <v>1.5</v>
      </c>
      <c r="D49" s="497">
        <v>2</v>
      </c>
      <c r="E49" s="497">
        <v>2.5</v>
      </c>
      <c r="F49" s="497">
        <v>3</v>
      </c>
      <c r="G49" s="497">
        <v>5</v>
      </c>
      <c r="H49" s="762" t="s">
        <v>228</v>
      </c>
      <c r="I49" s="763"/>
      <c r="J49" s="763"/>
      <c r="K49" s="764"/>
      <c r="L49" s="384"/>
      <c r="M49" s="385"/>
    </row>
    <row r="50" spans="1:34" ht="24" customHeight="1">
      <c r="A50" s="381" t="s">
        <v>310</v>
      </c>
      <c r="B50" s="382"/>
      <c r="C50" s="517"/>
      <c r="D50" s="517"/>
      <c r="E50" s="517"/>
      <c r="F50" s="517"/>
      <c r="G50" s="517"/>
      <c r="H50" s="762" t="s">
        <v>213</v>
      </c>
      <c r="I50" s="763"/>
      <c r="J50" s="763"/>
      <c r="K50" s="764"/>
      <c r="L50" s="384"/>
      <c r="M50" s="385"/>
    </row>
    <row r="51" spans="1:34" ht="24" customHeight="1">
      <c r="A51" s="381"/>
      <c r="B51" s="382"/>
      <c r="C51" s="517"/>
      <c r="D51" s="517"/>
      <c r="E51" s="517"/>
      <c r="F51" s="517"/>
      <c r="G51" s="517"/>
      <c r="H51" s="571"/>
      <c r="I51" s="400" t="s">
        <v>112</v>
      </c>
      <c r="J51" s="472" t="s">
        <v>11</v>
      </c>
      <c r="K51" s="578"/>
      <c r="L51" s="384"/>
      <c r="M51" s="385"/>
    </row>
    <row r="52" spans="1:34" ht="24" customHeight="1">
      <c r="A52" s="507"/>
      <c r="B52" s="508"/>
      <c r="C52" s="509"/>
      <c r="D52" s="509"/>
      <c r="E52" s="509"/>
      <c r="F52" s="509"/>
      <c r="G52" s="509"/>
      <c r="H52" s="511"/>
      <c r="I52" s="587"/>
      <c r="J52" s="587"/>
      <c r="K52" s="588"/>
      <c r="L52" s="510"/>
      <c r="M52" s="376"/>
    </row>
    <row r="53" spans="1:34" ht="24" customHeight="1">
      <c r="A53" s="602" t="s">
        <v>155</v>
      </c>
      <c r="B53" s="490">
        <v>5.45</v>
      </c>
      <c r="C53" s="598">
        <v>0.1</v>
      </c>
      <c r="D53" s="598">
        <v>0.3</v>
      </c>
      <c r="E53" s="598">
        <v>0.5</v>
      </c>
      <c r="F53" s="598">
        <v>0.7</v>
      </c>
      <c r="G53" s="598">
        <v>1</v>
      </c>
      <c r="H53" s="738" t="s">
        <v>364</v>
      </c>
      <c r="I53" s="739"/>
      <c r="J53" s="739"/>
      <c r="K53" s="740"/>
      <c r="L53" s="303">
        <f>ROUND(3+((J56-50)*1/20),4)</f>
        <v>4.55</v>
      </c>
      <c r="M53" s="380">
        <f>IF(L53=0,"-",ROUND(L53*B53/B$64,4))</f>
        <v>0.31709999999999999</v>
      </c>
      <c r="Q53" s="368" t="s">
        <v>164</v>
      </c>
      <c r="R53" s="368" t="s">
        <v>165</v>
      </c>
      <c r="S53" s="368" t="s">
        <v>166</v>
      </c>
      <c r="T53" s="368" t="s">
        <v>180</v>
      </c>
      <c r="U53" s="368" t="s">
        <v>181</v>
      </c>
      <c r="V53" s="368" t="s">
        <v>278</v>
      </c>
      <c r="W53" s="368" t="s">
        <v>183</v>
      </c>
      <c r="X53" s="368" t="s">
        <v>184</v>
      </c>
      <c r="Y53" s="368" t="s">
        <v>185</v>
      </c>
      <c r="Z53" s="368" t="s">
        <v>186</v>
      </c>
      <c r="AA53" s="368" t="s">
        <v>187</v>
      </c>
      <c r="AB53" s="368" t="s">
        <v>188</v>
      </c>
      <c r="AC53" s="368" t="s">
        <v>189</v>
      </c>
      <c r="AD53" s="368" t="s">
        <v>190</v>
      </c>
      <c r="AE53" s="368" t="s">
        <v>191</v>
      </c>
      <c r="AF53" s="368" t="s">
        <v>192</v>
      </c>
      <c r="AG53" s="368" t="s">
        <v>193</v>
      </c>
      <c r="AH53" s="368" t="s">
        <v>20</v>
      </c>
    </row>
    <row r="54" spans="1:34" ht="24" customHeight="1">
      <c r="A54" s="603" t="s">
        <v>197</v>
      </c>
      <c r="B54" s="604"/>
      <c r="C54" s="383"/>
      <c r="D54" s="383"/>
      <c r="E54" s="383"/>
      <c r="F54" s="383"/>
      <c r="G54" s="406"/>
      <c r="H54" s="571" t="s">
        <v>317</v>
      </c>
      <c r="I54" s="501"/>
      <c r="J54" s="581"/>
      <c r="K54" s="582"/>
      <c r="L54" s="518"/>
      <c r="M54" s="385"/>
      <c r="Q54" s="368">
        <v>82</v>
      </c>
      <c r="R54" s="368">
        <v>100</v>
      </c>
      <c r="S54" s="368">
        <v>0</v>
      </c>
      <c r="T54" s="368">
        <v>82</v>
      </c>
      <c r="U54" s="368">
        <v>72</v>
      </c>
      <c r="V54" s="368">
        <v>81</v>
      </c>
      <c r="W54" s="368">
        <v>95</v>
      </c>
      <c r="X54" s="368">
        <v>72</v>
      </c>
      <c r="Y54" s="368">
        <v>80</v>
      </c>
      <c r="Z54" s="368">
        <v>76</v>
      </c>
      <c r="AA54" s="368">
        <v>76</v>
      </c>
      <c r="AB54" s="368">
        <v>86</v>
      </c>
      <c r="AC54" s="368">
        <v>76</v>
      </c>
      <c r="AD54" s="368">
        <v>70</v>
      </c>
      <c r="AE54" s="368">
        <v>100</v>
      </c>
      <c r="AF54" s="368">
        <v>72</v>
      </c>
      <c r="AG54" s="368">
        <v>95</v>
      </c>
      <c r="AH54" s="404">
        <f>(Q54+R54+S54+T54+U54+V54+W54+X54+Y54+Z54+AA54+AB54+AC54+AD54+AE54+AF54+AG54)/17</f>
        <v>77.352941176470594</v>
      </c>
    </row>
    <row r="55" spans="1:34" ht="24" customHeight="1">
      <c r="A55" s="381" t="s">
        <v>310</v>
      </c>
      <c r="B55" s="604"/>
      <c r="C55" s="383"/>
      <c r="D55" s="383"/>
      <c r="E55" s="383"/>
      <c r="F55" s="383"/>
      <c r="G55" s="383"/>
      <c r="H55" s="572" t="s">
        <v>231</v>
      </c>
      <c r="I55" s="501"/>
      <c r="J55" s="581"/>
      <c r="K55" s="582"/>
      <c r="L55" s="518"/>
      <c r="M55" s="385"/>
    </row>
    <row r="56" spans="1:34" ht="24" customHeight="1">
      <c r="A56" s="603"/>
      <c r="B56" s="604"/>
      <c r="C56" s="383"/>
      <c r="D56" s="383"/>
      <c r="E56" s="383"/>
      <c r="F56" s="383"/>
      <c r="G56" s="383"/>
      <c r="H56" s="571"/>
      <c r="I56" s="400" t="s">
        <v>114</v>
      </c>
      <c r="J56" s="545">
        <v>81</v>
      </c>
      <c r="K56" s="573" t="s">
        <v>51</v>
      </c>
      <c r="L56" s="518"/>
      <c r="M56" s="385"/>
      <c r="P56" s="305"/>
    </row>
    <row r="57" spans="1:34" ht="24" customHeight="1">
      <c r="A57" s="605"/>
      <c r="B57" s="606"/>
      <c r="C57" s="509"/>
      <c r="D57" s="509"/>
      <c r="E57" s="509"/>
      <c r="F57" s="509"/>
      <c r="G57" s="509"/>
      <c r="H57" s="512"/>
      <c r="I57" s="587"/>
      <c r="J57" s="587"/>
      <c r="K57" s="588"/>
      <c r="L57" s="607"/>
      <c r="M57" s="376"/>
    </row>
    <row r="58" spans="1:34" ht="24" customHeight="1">
      <c r="A58" s="379" t="s">
        <v>156</v>
      </c>
      <c r="B58" s="490">
        <v>5.45</v>
      </c>
      <c r="C58" s="498">
        <v>0.8</v>
      </c>
      <c r="D58" s="498">
        <v>0.85</v>
      </c>
      <c r="E58" s="498">
        <v>0.9</v>
      </c>
      <c r="F58" s="498">
        <v>0.95</v>
      </c>
      <c r="G58" s="498">
        <v>1</v>
      </c>
      <c r="H58" s="738" t="s">
        <v>304</v>
      </c>
      <c r="I58" s="739"/>
      <c r="J58" s="739"/>
      <c r="K58" s="740"/>
      <c r="L58" s="303">
        <f>ROUND(2+((J62-85)*1/5),4)</f>
        <v>5</v>
      </c>
      <c r="M58" s="380">
        <f>IF(L58=0,"-",ROUND(L58*B58/B$64,4))</f>
        <v>0.34849999999999998</v>
      </c>
      <c r="R58" s="413"/>
    </row>
    <row r="59" spans="1:34" ht="24" customHeight="1">
      <c r="A59" s="381" t="s">
        <v>116</v>
      </c>
      <c r="B59" s="382"/>
      <c r="C59" s="497"/>
      <c r="D59" s="497"/>
      <c r="E59" s="497"/>
      <c r="F59" s="497"/>
      <c r="G59" s="497"/>
      <c r="H59" s="762" t="s">
        <v>305</v>
      </c>
      <c r="I59" s="763"/>
      <c r="J59" s="763"/>
      <c r="K59" s="764"/>
      <c r="L59" s="384"/>
      <c r="M59" s="385"/>
    </row>
    <row r="60" spans="1:34" ht="24" customHeight="1">
      <c r="A60" s="381" t="s">
        <v>310</v>
      </c>
      <c r="B60" s="382"/>
      <c r="C60" s="383"/>
      <c r="D60" s="383"/>
      <c r="E60" s="383"/>
      <c r="F60" s="383"/>
      <c r="G60" s="383"/>
      <c r="H60" s="762" t="s">
        <v>306</v>
      </c>
      <c r="I60" s="763"/>
      <c r="J60" s="763"/>
      <c r="K60" s="764"/>
      <c r="L60" s="384"/>
      <c r="M60" s="385"/>
      <c r="O60" s="375"/>
      <c r="P60" s="375"/>
      <c r="Q60" s="375"/>
      <c r="R60" s="375"/>
      <c r="S60" s="375"/>
      <c r="T60" s="375"/>
      <c r="U60" s="375"/>
      <c r="V60" s="375"/>
      <c r="W60" s="375"/>
      <c r="X60" s="375"/>
      <c r="Y60" s="375"/>
      <c r="Z60" s="375"/>
      <c r="AA60" s="375"/>
      <c r="AB60" s="375"/>
      <c r="AC60" s="375"/>
      <c r="AD60" s="375"/>
      <c r="AE60" s="375"/>
      <c r="AF60" s="375"/>
    </row>
    <row r="61" spans="1:34" ht="24" customHeight="1">
      <c r="A61" s="381"/>
      <c r="B61" s="382"/>
      <c r="C61" s="383"/>
      <c r="D61" s="383"/>
      <c r="E61" s="383"/>
      <c r="F61" s="383"/>
      <c r="G61" s="383"/>
      <c r="H61" s="571" t="s">
        <v>307</v>
      </c>
      <c r="I61" s="572"/>
      <c r="J61" s="572"/>
      <c r="K61" s="573"/>
      <c r="L61" s="384"/>
      <c r="M61" s="385"/>
      <c r="O61" s="414"/>
      <c r="P61" s="414"/>
      <c r="Q61" s="414"/>
      <c r="R61" s="414"/>
      <c r="S61" s="414"/>
      <c r="T61" s="414"/>
      <c r="U61" s="414"/>
      <c r="V61" s="414"/>
      <c r="W61" s="414"/>
      <c r="X61" s="414"/>
      <c r="Y61" s="414"/>
      <c r="Z61" s="414"/>
      <c r="AA61" s="414"/>
      <c r="AB61" s="414"/>
      <c r="AC61" s="414"/>
      <c r="AD61" s="414"/>
      <c r="AE61" s="414"/>
      <c r="AF61" s="414"/>
    </row>
    <row r="62" spans="1:34" ht="24" customHeight="1">
      <c r="A62" s="381"/>
      <c r="B62" s="382"/>
      <c r="C62" s="383"/>
      <c r="D62" s="383"/>
      <c r="E62" s="383"/>
      <c r="F62" s="383"/>
      <c r="G62" s="383"/>
      <c r="H62" s="571"/>
      <c r="I62" s="400" t="s">
        <v>114</v>
      </c>
      <c r="J62" s="545">
        <v>100</v>
      </c>
      <c r="K62" s="578" t="s">
        <v>51</v>
      </c>
      <c r="L62" s="384"/>
      <c r="M62" s="385"/>
      <c r="O62" s="414"/>
      <c r="P62" s="414"/>
      <c r="Q62" s="414"/>
      <c r="R62" s="414"/>
      <c r="S62" s="414"/>
      <c r="T62" s="414"/>
      <c r="U62" s="414"/>
      <c r="V62" s="414"/>
      <c r="W62" s="414"/>
      <c r="X62" s="414"/>
      <c r="Y62" s="414"/>
      <c r="Z62" s="414"/>
      <c r="AA62" s="414"/>
      <c r="AB62" s="414"/>
      <c r="AC62" s="414"/>
      <c r="AD62" s="414"/>
      <c r="AE62" s="414"/>
      <c r="AF62" s="414"/>
    </row>
    <row r="63" spans="1:34" ht="24" customHeight="1">
      <c r="A63" s="381"/>
      <c r="B63" s="608"/>
      <c r="C63" s="383"/>
      <c r="D63" s="383"/>
      <c r="E63" s="383"/>
      <c r="F63" s="383"/>
      <c r="G63" s="517"/>
      <c r="H63" s="571"/>
      <c r="I63" s="601"/>
      <c r="J63" s="600"/>
      <c r="K63" s="578"/>
      <c r="L63" s="384"/>
      <c r="M63" s="385"/>
      <c r="O63" s="414"/>
      <c r="P63" s="414"/>
      <c r="Q63" s="414"/>
      <c r="R63" s="414"/>
      <c r="S63" s="414"/>
      <c r="T63" s="414"/>
      <c r="U63" s="414"/>
      <c r="V63" s="414"/>
      <c r="W63" s="414"/>
      <c r="X63" s="414"/>
      <c r="Y63" s="414"/>
      <c r="Z63" s="414"/>
      <c r="AA63" s="414"/>
      <c r="AB63" s="414"/>
      <c r="AC63" s="414"/>
      <c r="AD63" s="414"/>
      <c r="AE63" s="414"/>
      <c r="AF63" s="414"/>
    </row>
    <row r="64" spans="1:34" ht="24" customHeight="1">
      <c r="A64" s="415"/>
      <c r="B64" s="416">
        <f>SUM(B6:B63)</f>
        <v>78.190000000000012</v>
      </c>
      <c r="C64" s="417"/>
      <c r="D64" s="417"/>
      <c r="E64" s="417"/>
      <c r="F64" s="417"/>
      <c r="G64" s="418"/>
      <c r="H64" s="417"/>
      <c r="I64" s="417"/>
      <c r="J64" s="417"/>
      <c r="K64" s="417"/>
      <c r="L64" s="419" t="s">
        <v>140</v>
      </c>
      <c r="M64" s="420">
        <f>SUM(M6:M63)</f>
        <v>4.6649000000000003</v>
      </c>
      <c r="O64" s="414"/>
      <c r="P64" s="414"/>
      <c r="Q64" s="414"/>
      <c r="R64" s="414"/>
      <c r="S64" s="414"/>
      <c r="T64" s="414"/>
      <c r="U64" s="414"/>
      <c r="V64" s="414"/>
      <c r="W64" s="414"/>
      <c r="X64" s="414"/>
      <c r="Y64" s="414"/>
      <c r="Z64" s="414"/>
      <c r="AA64" s="414"/>
      <c r="AB64" s="414"/>
      <c r="AC64" s="414"/>
      <c r="AD64" s="414"/>
      <c r="AE64" s="414"/>
      <c r="AF64" s="414"/>
    </row>
    <row r="65" spans="1:32" ht="24" customHeight="1">
      <c r="O65" s="414"/>
      <c r="P65" s="414"/>
      <c r="Q65" s="414"/>
      <c r="R65" s="414"/>
      <c r="S65" s="414"/>
      <c r="T65" s="414"/>
      <c r="U65" s="414"/>
      <c r="V65" s="422"/>
      <c r="W65" s="414"/>
      <c r="X65" s="414"/>
      <c r="Y65" s="414"/>
      <c r="Z65" s="414"/>
      <c r="AA65" s="414"/>
      <c r="AB65" s="414"/>
      <c r="AC65" s="414"/>
      <c r="AD65" s="414"/>
      <c r="AE65" s="414"/>
      <c r="AF65" s="414"/>
    </row>
    <row r="66" spans="1:32" ht="24" customHeight="1">
      <c r="A66" s="423"/>
    </row>
    <row r="67" spans="1:32" ht="24" customHeight="1"/>
    <row r="68" spans="1:32" ht="24" customHeight="1"/>
    <row r="69" spans="1:32" ht="24" customHeight="1"/>
    <row r="70" spans="1:32" ht="24" customHeight="1"/>
    <row r="71" spans="1:32" ht="24" customHeight="1"/>
    <row r="72" spans="1:32" ht="24" customHeight="1"/>
    <row r="73" spans="1:32" ht="24" customHeight="1"/>
  </sheetData>
  <mergeCells count="37">
    <mergeCell ref="H60:K60"/>
    <mergeCell ref="H48:K48"/>
    <mergeCell ref="H49:K49"/>
    <mergeCell ref="H50:K50"/>
    <mergeCell ref="H53:K53"/>
    <mergeCell ref="H58:K58"/>
    <mergeCell ref="H59:K59"/>
    <mergeCell ref="H45:K45"/>
    <mergeCell ref="H24:K24"/>
    <mergeCell ref="AI26:AJ26"/>
    <mergeCell ref="H27:K27"/>
    <mergeCell ref="H28:K28"/>
    <mergeCell ref="H30:K30"/>
    <mergeCell ref="H31:K31"/>
    <mergeCell ref="H32:K32"/>
    <mergeCell ref="H37:K37"/>
    <mergeCell ref="H38:K38"/>
    <mergeCell ref="H39:K39"/>
    <mergeCell ref="H44:K44"/>
    <mergeCell ref="H23:K23"/>
    <mergeCell ref="H7:K7"/>
    <mergeCell ref="H8:K8"/>
    <mergeCell ref="H9:K9"/>
    <mergeCell ref="H11:K11"/>
    <mergeCell ref="H12:K12"/>
    <mergeCell ref="H13:K13"/>
    <mergeCell ref="H14:K14"/>
    <mergeCell ref="H17:K17"/>
    <mergeCell ref="H18:K18"/>
    <mergeCell ref="H19:K19"/>
    <mergeCell ref="H22:K22"/>
    <mergeCell ref="H6:K6"/>
    <mergeCell ref="A1:M1"/>
    <mergeCell ref="A2:M2"/>
    <mergeCell ref="C4:G4"/>
    <mergeCell ref="H4:K5"/>
    <mergeCell ref="L4:L5"/>
  </mergeCells>
  <printOptions horizontalCentered="1"/>
  <pageMargins left="0.196850393700787" right="0.196850393700787" top="0.55118110236220497" bottom="0.27559055118110198" header="0.196850393700787" footer="0.47244094488188998"/>
  <pageSetup paperSize="9" scale="68" orientation="landscape" r:id="rId1"/>
  <headerFooter scaleWithDoc="0">
    <oddHeader>&amp;R&amp;"TH SarabunPSK,Regular"&amp;16&amp;P</oddHeader>
  </headerFooter>
  <rowBreaks count="2" manualBreakCount="2">
    <brk id="26" max="12" man="1"/>
    <brk id="52" max="12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N80"/>
  <sheetViews>
    <sheetView view="pageBreakPreview" topLeftCell="A40" zoomScaleNormal="90" zoomScaleSheetLayoutView="100" zoomScalePageLayoutView="50" workbookViewId="0">
      <selection activeCell="H61" sqref="H61"/>
    </sheetView>
  </sheetViews>
  <sheetFormatPr defaultColWidth="9.140625" defaultRowHeight="21"/>
  <cols>
    <col min="1" max="1" width="38" style="368" customWidth="1"/>
    <col min="2" max="2" width="11.5703125" style="368" customWidth="1"/>
    <col min="3" max="3" width="9.85546875" style="368" customWidth="1"/>
    <col min="4" max="7" width="9.28515625" style="368" customWidth="1"/>
    <col min="8" max="8" width="9.85546875" style="368" customWidth="1"/>
    <col min="9" max="9" width="16.140625" style="368" customWidth="1"/>
    <col min="10" max="10" width="16.5703125" style="368" customWidth="1"/>
    <col min="11" max="11" width="33.85546875" style="368" customWidth="1"/>
    <col min="12" max="12" width="11.140625" style="421" customWidth="1"/>
    <col min="13" max="13" width="11.140625" style="368" customWidth="1"/>
    <col min="14" max="16" width="9.140625" style="368"/>
    <col min="17" max="17" width="12.42578125" style="368" bestFit="1" customWidth="1"/>
    <col min="18" max="20" width="11.5703125" style="368" bestFit="1" customWidth="1"/>
    <col min="21" max="21" width="9.140625" style="368"/>
    <col min="22" max="30" width="11.5703125" style="368" bestFit="1" customWidth="1"/>
    <col min="31" max="31" width="17.7109375" style="368" customWidth="1"/>
    <col min="32" max="32" width="9.28515625" style="368" bestFit="1" customWidth="1"/>
    <col min="33" max="33" width="11.28515625" style="368" bestFit="1" customWidth="1"/>
    <col min="34" max="35" width="9.140625" style="368"/>
    <col min="36" max="36" width="86.140625" style="368" bestFit="1" customWidth="1"/>
    <col min="37" max="37" width="19.28515625" style="368" bestFit="1" customWidth="1"/>
    <col min="38" max="38" width="15" style="368" bestFit="1" customWidth="1"/>
    <col min="39" max="39" width="10.42578125" style="368" bestFit="1" customWidth="1"/>
    <col min="40" max="16384" width="9.140625" style="368"/>
  </cols>
  <sheetData>
    <row r="1" spans="1:40" ht="24" customHeight="1">
      <c r="A1" s="752" t="s">
        <v>0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2" spans="1:40" ht="24" customHeight="1">
      <c r="A2" s="752" t="s">
        <v>347</v>
      </c>
      <c r="B2" s="753"/>
      <c r="C2" s="753"/>
      <c r="D2" s="753"/>
      <c r="E2" s="753"/>
      <c r="F2" s="753"/>
      <c r="G2" s="753"/>
      <c r="H2" s="753"/>
      <c r="I2" s="753"/>
      <c r="J2" s="753"/>
      <c r="K2" s="753"/>
      <c r="L2" s="753"/>
      <c r="M2" s="753"/>
    </row>
    <row r="3" spans="1:40" ht="24" customHeight="1">
      <c r="A3" s="369" t="s">
        <v>373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72" t="s">
        <v>237</v>
      </c>
    </row>
    <row r="4" spans="1:40" s="375" customFormat="1" ht="24" customHeight="1">
      <c r="A4" s="373" t="s">
        <v>1</v>
      </c>
      <c r="B4" s="373" t="s">
        <v>2</v>
      </c>
      <c r="C4" s="754" t="s">
        <v>3</v>
      </c>
      <c r="D4" s="754"/>
      <c r="E4" s="754"/>
      <c r="F4" s="754"/>
      <c r="G4" s="754"/>
      <c r="H4" s="755" t="s">
        <v>4</v>
      </c>
      <c r="I4" s="756"/>
      <c r="J4" s="756"/>
      <c r="K4" s="757"/>
      <c r="L4" s="761" t="s">
        <v>5</v>
      </c>
      <c r="M4" s="374" t="s">
        <v>6</v>
      </c>
    </row>
    <row r="5" spans="1:40" s="375" customFormat="1" ht="24" customHeight="1">
      <c r="A5" s="376" t="s">
        <v>7</v>
      </c>
      <c r="B5" s="376" t="s">
        <v>8</v>
      </c>
      <c r="C5" s="377">
        <v>1</v>
      </c>
      <c r="D5" s="377">
        <v>2</v>
      </c>
      <c r="E5" s="377">
        <v>3</v>
      </c>
      <c r="F5" s="377">
        <v>4</v>
      </c>
      <c r="G5" s="377">
        <v>5</v>
      </c>
      <c r="H5" s="758"/>
      <c r="I5" s="759"/>
      <c r="J5" s="759"/>
      <c r="K5" s="760"/>
      <c r="L5" s="761"/>
      <c r="M5" s="378" t="s">
        <v>9</v>
      </c>
    </row>
    <row r="6" spans="1:40" ht="24" customHeight="1">
      <c r="A6" s="379" t="s">
        <v>159</v>
      </c>
      <c r="B6" s="302">
        <v>5.45</v>
      </c>
      <c r="C6" s="506">
        <v>0.65</v>
      </c>
      <c r="D6" s="506">
        <v>0.7</v>
      </c>
      <c r="E6" s="506">
        <v>0.75</v>
      </c>
      <c r="F6" s="506">
        <v>0.8</v>
      </c>
      <c r="G6" s="506">
        <v>0.85</v>
      </c>
      <c r="H6" s="738" t="s">
        <v>203</v>
      </c>
      <c r="I6" s="739"/>
      <c r="J6" s="739"/>
      <c r="K6" s="740"/>
      <c r="L6" s="303">
        <v>4.8520000000000003</v>
      </c>
      <c r="M6" s="380">
        <f>IF(L6=0,"-",ROUND(L6*B6/B$71,4))</f>
        <v>0.31619999999999998</v>
      </c>
    </row>
    <row r="7" spans="1:40" ht="24" customHeight="1">
      <c r="A7" s="381" t="s">
        <v>144</v>
      </c>
      <c r="B7" s="382"/>
      <c r="C7" s="383"/>
      <c r="D7" s="383"/>
      <c r="E7" s="383"/>
      <c r="F7" s="383"/>
      <c r="G7" s="383"/>
      <c r="H7" s="762" t="s">
        <v>365</v>
      </c>
      <c r="I7" s="763"/>
      <c r="J7" s="763"/>
      <c r="K7" s="764"/>
      <c r="L7" s="384"/>
      <c r="M7" s="385"/>
      <c r="N7" s="375" t="s">
        <v>238</v>
      </c>
      <c r="O7" s="386" t="s">
        <v>164</v>
      </c>
      <c r="P7" s="375" t="s">
        <v>165</v>
      </c>
      <c r="Q7" s="375" t="s">
        <v>166</v>
      </c>
      <c r="R7" s="386" t="s">
        <v>167</v>
      </c>
      <c r="S7" s="386" t="s">
        <v>168</v>
      </c>
      <c r="T7" s="386" t="s">
        <v>169</v>
      </c>
      <c r="U7" s="386" t="s">
        <v>170</v>
      </c>
      <c r="V7" s="386" t="s">
        <v>171</v>
      </c>
      <c r="W7" s="375" t="s">
        <v>172</v>
      </c>
      <c r="X7" s="386" t="s">
        <v>173</v>
      </c>
      <c r="Y7" s="386" t="s">
        <v>174</v>
      </c>
      <c r="Z7" s="375" t="s">
        <v>175</v>
      </c>
      <c r="AA7" s="386" t="s">
        <v>176</v>
      </c>
      <c r="AB7" s="386" t="s">
        <v>178</v>
      </c>
      <c r="AC7" s="375" t="s">
        <v>192</v>
      </c>
      <c r="AD7" s="375" t="s">
        <v>239</v>
      </c>
      <c r="AE7" s="375" t="s">
        <v>240</v>
      </c>
    </row>
    <row r="8" spans="1:40" ht="24" customHeight="1">
      <c r="A8" s="381"/>
      <c r="B8" s="382"/>
      <c r="C8" s="383"/>
      <c r="D8" s="383"/>
      <c r="E8" s="383"/>
      <c r="F8" s="383"/>
      <c r="G8" s="383"/>
      <c r="H8" s="762" t="s">
        <v>204</v>
      </c>
      <c r="I8" s="763"/>
      <c r="J8" s="763"/>
      <c r="K8" s="764"/>
      <c r="L8" s="384"/>
      <c r="M8" s="385"/>
      <c r="AI8" s="447" t="s">
        <v>241</v>
      </c>
      <c r="AJ8" s="388" t="s">
        <v>14</v>
      </c>
      <c r="AK8" s="389" t="s">
        <v>242</v>
      </c>
      <c r="AL8" s="390" t="s">
        <v>243</v>
      </c>
      <c r="AM8" s="391"/>
      <c r="AN8" s="391" t="s">
        <v>244</v>
      </c>
    </row>
    <row r="9" spans="1:40" ht="24" customHeight="1">
      <c r="A9" s="381"/>
      <c r="B9" s="382"/>
      <c r="C9" s="383"/>
      <c r="D9" s="383"/>
      <c r="E9" s="383"/>
      <c r="F9" s="383"/>
      <c r="G9" s="383"/>
      <c r="H9" s="762" t="s">
        <v>205</v>
      </c>
      <c r="I9" s="763"/>
      <c r="J9" s="763"/>
      <c r="K9" s="764"/>
      <c r="L9" s="384"/>
      <c r="M9" s="385"/>
      <c r="N9" s="392">
        <f>SUM(O9:AB9)</f>
        <v>2754.9592476500002</v>
      </c>
      <c r="O9" s="393">
        <v>63.05</v>
      </c>
      <c r="P9" s="393">
        <v>363.36509999999998</v>
      </c>
      <c r="Q9" s="393">
        <v>157.61449099999999</v>
      </c>
      <c r="R9" s="393">
        <v>122.296868</v>
      </c>
      <c r="S9" s="393"/>
      <c r="T9" s="393">
        <v>687.09411299999999</v>
      </c>
      <c r="U9" s="394">
        <v>432.493359</v>
      </c>
      <c r="V9" s="393"/>
      <c r="W9" s="393">
        <v>567.82270000000005</v>
      </c>
      <c r="X9" s="393">
        <v>128.228759</v>
      </c>
      <c r="Y9" s="393">
        <v>39.988</v>
      </c>
      <c r="AA9" s="326">
        <v>103.4341</v>
      </c>
      <c r="AB9" s="393">
        <v>89.571757649999995</v>
      </c>
      <c r="AC9" s="368">
        <f>SUM(O9:AB9)</f>
        <v>2754.9592476500002</v>
      </c>
      <c r="AE9" s="368">
        <f>AC9</f>
        <v>2754.9592476500002</v>
      </c>
      <c r="AI9" s="395">
        <v>1</v>
      </c>
      <c r="AJ9" s="396" t="s">
        <v>245</v>
      </c>
      <c r="AK9" s="397">
        <v>172677500</v>
      </c>
      <c r="AL9" s="398">
        <v>13.36</v>
      </c>
      <c r="AM9" s="399" t="e">
        <f t="shared" ref="AM9:AM25" si="0">AL9*AK9/$C$13</f>
        <v>#DIV/0!</v>
      </c>
      <c r="AN9" s="399">
        <f>AL9*AK9/AK9</f>
        <v>13.36</v>
      </c>
    </row>
    <row r="10" spans="1:40" ht="24" customHeight="1">
      <c r="A10" s="381"/>
      <c r="B10" s="382"/>
      <c r="C10" s="383"/>
      <c r="D10" s="383"/>
      <c r="E10" s="383"/>
      <c r="F10" s="383"/>
      <c r="G10" s="383"/>
      <c r="I10" s="400" t="s">
        <v>54</v>
      </c>
      <c r="J10" s="472">
        <v>84.26</v>
      </c>
      <c r="K10" s="573" t="s">
        <v>51</v>
      </c>
      <c r="L10" s="384"/>
      <c r="M10" s="385"/>
      <c r="N10" s="368">
        <f>(O10*O9+P10*P9+Q10*Q9+R10*R9+S10*S9+T10*T9+U10*U9+V10*V9+W10*W9+X10*X9+Y10*Y9+Z10*Z9+AA10*AA9+AB10*AB9)/N9</f>
        <v>84.754654906071266</v>
      </c>
      <c r="O10" s="393">
        <v>100</v>
      </c>
      <c r="P10" s="393">
        <v>63.46</v>
      </c>
      <c r="Q10" s="393">
        <v>51.39</v>
      </c>
      <c r="R10" s="393">
        <v>100</v>
      </c>
      <c r="S10" s="393"/>
      <c r="T10" s="393">
        <v>100</v>
      </c>
      <c r="U10" s="393">
        <v>98.85</v>
      </c>
      <c r="V10" s="393"/>
      <c r="W10" s="401">
        <v>77.599999999999994</v>
      </c>
      <c r="X10" s="393">
        <v>66.87</v>
      </c>
      <c r="Y10" s="393">
        <v>100</v>
      </c>
      <c r="AA10" s="393">
        <v>71.75</v>
      </c>
      <c r="AB10" s="393">
        <v>92.47</v>
      </c>
      <c r="AC10" s="402">
        <f>J10</f>
        <v>84.26</v>
      </c>
      <c r="AE10" s="402">
        <f>J10</f>
        <v>84.26</v>
      </c>
      <c r="AI10" s="395">
        <v>2</v>
      </c>
      <c r="AJ10" s="396" t="s">
        <v>246</v>
      </c>
      <c r="AK10" s="397">
        <v>525283600</v>
      </c>
      <c r="AL10" s="398">
        <v>35.229999999999997</v>
      </c>
      <c r="AM10" s="399" t="e">
        <f t="shared" si="0"/>
        <v>#DIV/0!</v>
      </c>
      <c r="AN10" s="399">
        <f t="shared" ref="AN10:AN23" si="1">(AL10*AK10/AK10)</f>
        <v>35.229999999999997</v>
      </c>
    </row>
    <row r="11" spans="1:40" ht="24" customHeight="1">
      <c r="A11" s="507"/>
      <c r="B11" s="508"/>
      <c r="C11" s="509"/>
      <c r="D11" s="509"/>
      <c r="E11" s="509"/>
      <c r="F11" s="509"/>
      <c r="G11" s="509"/>
      <c r="H11" s="768"/>
      <c r="I11" s="769"/>
      <c r="J11" s="769"/>
      <c r="K11" s="770"/>
      <c r="L11" s="510"/>
      <c r="M11" s="376"/>
      <c r="AE11" s="368" t="s">
        <v>20</v>
      </c>
      <c r="AI11" s="395"/>
      <c r="AJ11" s="396" t="s">
        <v>247</v>
      </c>
      <c r="AK11" s="397">
        <v>63771100</v>
      </c>
      <c r="AL11" s="398">
        <v>0.28000000000000003</v>
      </c>
      <c r="AM11" s="399" t="e">
        <f t="shared" si="0"/>
        <v>#DIV/0!</v>
      </c>
      <c r="AN11" s="399"/>
    </row>
    <row r="12" spans="1:40" ht="24" customHeight="1">
      <c r="A12" s="379" t="s">
        <v>145</v>
      </c>
      <c r="B12" s="302">
        <v>16.36</v>
      </c>
      <c r="C12" s="506">
        <v>0.69</v>
      </c>
      <c r="D12" s="506">
        <v>0.72</v>
      </c>
      <c r="E12" s="506">
        <v>0.75</v>
      </c>
      <c r="F12" s="506">
        <v>0.78</v>
      </c>
      <c r="G12" s="506">
        <v>0.81</v>
      </c>
      <c r="H12" s="739" t="s">
        <v>206</v>
      </c>
      <c r="I12" s="739"/>
      <c r="J12" s="739"/>
      <c r="K12" s="740"/>
      <c r="L12" s="303">
        <v>1</v>
      </c>
      <c r="M12" s="380">
        <f>IF(L12=0,"-",ROUND(L12*B12/B$71,4))</f>
        <v>0.1956</v>
      </c>
      <c r="P12" s="368" t="s">
        <v>177</v>
      </c>
      <c r="Q12" s="368">
        <v>88227925</v>
      </c>
      <c r="R12" s="368">
        <v>454314777</v>
      </c>
      <c r="S12" s="368">
        <v>163703662</v>
      </c>
      <c r="T12" s="368">
        <v>340069114</v>
      </c>
      <c r="V12" s="368">
        <v>145609485</v>
      </c>
      <c r="W12" s="368">
        <v>376474997</v>
      </c>
      <c r="X12" s="368">
        <v>154664423</v>
      </c>
      <c r="Y12" s="368">
        <v>364453100</v>
      </c>
      <c r="Z12" s="368">
        <v>301496841</v>
      </c>
      <c r="AA12" s="368">
        <v>117859601</v>
      </c>
      <c r="AB12" s="368">
        <v>103922683</v>
      </c>
      <c r="AC12" s="368">
        <v>110709100</v>
      </c>
      <c r="AD12" s="368">
        <v>396724840</v>
      </c>
      <c r="AE12" s="368">
        <f>Q12+R12+S12+T12+V12+W12+X12+Y12+Z12+AA12+AB12+AC12+AD12</f>
        <v>3118230548</v>
      </c>
      <c r="AI12" s="395"/>
      <c r="AJ12" s="396" t="s">
        <v>248</v>
      </c>
      <c r="AK12" s="397">
        <v>85121200</v>
      </c>
      <c r="AL12" s="398">
        <v>2.0499999999999998</v>
      </c>
      <c r="AM12" s="399" t="e">
        <f t="shared" si="0"/>
        <v>#DIV/0!</v>
      </c>
      <c r="AN12" s="399"/>
    </row>
    <row r="13" spans="1:40" ht="24" customHeight="1">
      <c r="A13" s="381" t="s">
        <v>21</v>
      </c>
      <c r="B13" s="382"/>
      <c r="C13" s="383"/>
      <c r="D13" s="383"/>
      <c r="E13" s="383"/>
      <c r="F13" s="383"/>
      <c r="G13" s="383"/>
      <c r="H13" s="762" t="s">
        <v>207</v>
      </c>
      <c r="I13" s="763"/>
      <c r="J13" s="763"/>
      <c r="K13" s="764"/>
      <c r="L13" s="384"/>
      <c r="M13" s="385"/>
      <c r="P13" s="368" t="s">
        <v>179</v>
      </c>
      <c r="Q13" s="368">
        <v>62767727</v>
      </c>
      <c r="R13" s="368">
        <v>213672936</v>
      </c>
      <c r="S13" s="368">
        <v>25795924</v>
      </c>
      <c r="T13" s="368">
        <v>114556854</v>
      </c>
      <c r="V13" s="368">
        <v>128932639</v>
      </c>
      <c r="W13" s="368">
        <v>336587666</v>
      </c>
      <c r="X13" s="368">
        <v>52373847</v>
      </c>
      <c r="Y13" s="368">
        <v>90762837</v>
      </c>
      <c r="Z13" s="368">
        <v>241819557</v>
      </c>
      <c r="AA13" s="368">
        <v>53872593</v>
      </c>
      <c r="AB13" s="368">
        <v>20156387</v>
      </c>
      <c r="AC13" s="368">
        <v>73919342</v>
      </c>
      <c r="AD13" s="368">
        <v>64957443</v>
      </c>
      <c r="AE13" s="403">
        <f>Q13+R13+S13+T13+V13+W13+X13+Y13+Z13+AA13+AB13+AC13+AD13</f>
        <v>1480175752</v>
      </c>
      <c r="AI13" s="395"/>
      <c r="AJ13" s="396" t="s">
        <v>249</v>
      </c>
      <c r="AK13" s="397">
        <v>115875000</v>
      </c>
      <c r="AL13" s="398">
        <v>0</v>
      </c>
      <c r="AM13" s="399" t="e">
        <f t="shared" si="0"/>
        <v>#DIV/0!</v>
      </c>
      <c r="AN13" s="399"/>
    </row>
    <row r="14" spans="1:40" ht="24" customHeight="1">
      <c r="A14" s="381"/>
      <c r="B14" s="382"/>
      <c r="C14" s="383"/>
      <c r="D14" s="383"/>
      <c r="E14" s="383"/>
      <c r="F14" s="383"/>
      <c r="G14" s="383"/>
      <c r="H14" s="762" t="s">
        <v>299</v>
      </c>
      <c r="I14" s="763"/>
      <c r="J14" s="763"/>
      <c r="K14" s="764"/>
      <c r="L14" s="384"/>
      <c r="M14" s="385"/>
      <c r="P14" s="368" t="s">
        <v>194</v>
      </c>
      <c r="Q14" s="368">
        <v>19.71</v>
      </c>
      <c r="R14" s="368">
        <v>38.619999999999997</v>
      </c>
      <c r="S14" s="368">
        <v>5.8</v>
      </c>
      <c r="T14" s="368">
        <v>21.95</v>
      </c>
      <c r="AE14" s="404">
        <f>(AE13/AE12)*100</f>
        <v>47.468451393030229</v>
      </c>
      <c r="AI14" s="395">
        <v>4</v>
      </c>
      <c r="AJ14" s="396" t="s">
        <v>250</v>
      </c>
      <c r="AK14" s="397">
        <v>1039701600</v>
      </c>
      <c r="AL14" s="398">
        <v>5.62</v>
      </c>
      <c r="AM14" s="399" t="e">
        <f t="shared" si="0"/>
        <v>#DIV/0!</v>
      </c>
      <c r="AN14" s="399">
        <f t="shared" si="1"/>
        <v>5.62</v>
      </c>
    </row>
    <row r="15" spans="1:40" ht="24" customHeight="1">
      <c r="A15" s="381"/>
      <c r="B15" s="382"/>
      <c r="C15" s="383"/>
      <c r="D15" s="383"/>
      <c r="E15" s="383"/>
      <c r="F15" s="383"/>
      <c r="G15" s="383"/>
      <c r="H15" s="577"/>
      <c r="I15" s="400" t="s">
        <v>199</v>
      </c>
      <c r="J15" s="472">
        <v>39.6</v>
      </c>
      <c r="K15" s="573" t="s">
        <v>51</v>
      </c>
      <c r="L15" s="384"/>
      <c r="M15" s="385"/>
      <c r="Q15" s="368">
        <f>(Q12*Q14)/AE12</f>
        <v>0.55767922704283635</v>
      </c>
      <c r="R15" s="368">
        <f>(R12*R14)/AE12</f>
        <v>5.6267926369310901</v>
      </c>
      <c r="S15" s="368">
        <f>(S12*S14)/AE12</f>
        <v>0.3044935982071586</v>
      </c>
      <c r="T15" s="368">
        <f>(T12*T14)/AE12</f>
        <v>2.3938310325026038</v>
      </c>
      <c r="V15" s="368">
        <f>(V12*V14)/AE12</f>
        <v>0</v>
      </c>
      <c r="W15" s="368">
        <f>(W12*W14)/AE12</f>
        <v>0</v>
      </c>
      <c r="X15" s="368">
        <f>(X12*X14)/AE12</f>
        <v>0</v>
      </c>
      <c r="Y15" s="368">
        <f>(Y12*Y14)/AE12</f>
        <v>0</v>
      </c>
      <c r="Z15" s="368">
        <f>(Z12*Z14)/AE12</f>
        <v>0</v>
      </c>
      <c r="AA15" s="368">
        <f>(AA12*AA14)/AE12</f>
        <v>0</v>
      </c>
      <c r="AB15" s="368">
        <f>(AB12*AB14)/AE12</f>
        <v>0</v>
      </c>
      <c r="AC15" s="368">
        <f>(AC12*AC14)/AE12</f>
        <v>0</v>
      </c>
      <c r="AD15" s="368">
        <f>(AD12*AD14)/AE12</f>
        <v>0</v>
      </c>
      <c r="AE15" s="368">
        <f>(Q15+R15+S15+T15+V15+W15+X15+Y15+Z15+AA15+AB15+AC15+AD15)/AE12</f>
        <v>2.8486657281903096E-9</v>
      </c>
      <c r="AI15" s="395">
        <v>5</v>
      </c>
      <c r="AJ15" s="396" t="s">
        <v>251</v>
      </c>
      <c r="AK15" s="397">
        <v>636679600</v>
      </c>
      <c r="AL15" s="398">
        <v>13.07</v>
      </c>
      <c r="AM15" s="399" t="e">
        <f t="shared" si="0"/>
        <v>#DIV/0!</v>
      </c>
      <c r="AN15" s="399">
        <f t="shared" si="1"/>
        <v>13.07</v>
      </c>
    </row>
    <row r="16" spans="1:40" ht="24" customHeight="1">
      <c r="A16" s="507"/>
      <c r="B16" s="508"/>
      <c r="C16" s="509"/>
      <c r="D16" s="509"/>
      <c r="E16" s="509"/>
      <c r="F16" s="509"/>
      <c r="G16" s="509"/>
      <c r="H16" s="511"/>
      <c r="I16" s="512"/>
      <c r="J16" s="513"/>
      <c r="K16" s="514"/>
      <c r="L16" s="510"/>
      <c r="M16" s="376"/>
      <c r="S16" s="368">
        <v>278676</v>
      </c>
      <c r="AI16" s="395">
        <v>8</v>
      </c>
      <c r="AJ16" s="396" t="s">
        <v>252</v>
      </c>
      <c r="AK16" s="397">
        <v>168866326</v>
      </c>
      <c r="AL16" s="398">
        <v>25.53</v>
      </c>
      <c r="AM16" s="399" t="e">
        <f t="shared" si="0"/>
        <v>#DIV/0!</v>
      </c>
      <c r="AN16" s="399">
        <f t="shared" si="1"/>
        <v>25.529999999999998</v>
      </c>
    </row>
    <row r="17" spans="1:40" ht="24" customHeight="1">
      <c r="A17" s="379" t="s">
        <v>146</v>
      </c>
      <c r="B17" s="302">
        <v>5.45</v>
      </c>
      <c r="C17" s="405">
        <v>0.92</v>
      </c>
      <c r="D17" s="405">
        <v>0.94</v>
      </c>
      <c r="E17" s="405">
        <v>0.96</v>
      </c>
      <c r="F17" s="405">
        <v>0.98</v>
      </c>
      <c r="G17" s="405">
        <v>1</v>
      </c>
      <c r="H17" s="738" t="s">
        <v>312</v>
      </c>
      <c r="I17" s="739"/>
      <c r="J17" s="739"/>
      <c r="K17" s="740"/>
      <c r="L17" s="303">
        <v>4.8650000000000002</v>
      </c>
      <c r="M17" s="380">
        <f>IF(L17=0,"-",ROUND(L17*B17/B$71,4))</f>
        <v>0.317</v>
      </c>
      <c r="S17" s="368">
        <v>6516821</v>
      </c>
      <c r="AI17" s="395">
        <v>9</v>
      </c>
      <c r="AJ17" s="396" t="s">
        <v>253</v>
      </c>
      <c r="AK17" s="397">
        <v>189999700</v>
      </c>
      <c r="AL17" s="398">
        <v>3.53</v>
      </c>
      <c r="AM17" s="399" t="e">
        <f t="shared" si="0"/>
        <v>#DIV/0!</v>
      </c>
      <c r="AN17" s="399">
        <f>(AL17*AK17/(AK17+AK18+AK19))+(AL18*AK18/(AK17+AK18+AK19))+(AL19*AK19/(AK17+AK18+AK19))</f>
        <v>17.929695702793666</v>
      </c>
    </row>
    <row r="18" spans="1:40" ht="24" customHeight="1">
      <c r="A18" s="381" t="s">
        <v>23</v>
      </c>
      <c r="B18" s="382"/>
      <c r="C18" s="383"/>
      <c r="D18" s="383"/>
      <c r="E18" s="383"/>
      <c r="F18" s="383"/>
      <c r="G18" s="383"/>
      <c r="H18" s="762" t="s">
        <v>313</v>
      </c>
      <c r="I18" s="763"/>
      <c r="J18" s="763"/>
      <c r="K18" s="764"/>
      <c r="L18" s="384"/>
      <c r="M18" s="385"/>
      <c r="S18" s="368">
        <v>59800</v>
      </c>
      <c r="AI18" s="395"/>
      <c r="AJ18" s="396" t="s">
        <v>254</v>
      </c>
      <c r="AK18" s="397">
        <v>93741300</v>
      </c>
      <c r="AL18" s="398">
        <v>63.29</v>
      </c>
      <c r="AM18" s="399" t="e">
        <f t="shared" si="0"/>
        <v>#DIV/0!</v>
      </c>
      <c r="AN18" s="399"/>
    </row>
    <row r="19" spans="1:40" ht="24" customHeight="1">
      <c r="A19" s="381" t="s">
        <v>24</v>
      </c>
      <c r="B19" s="382"/>
      <c r="C19" s="383"/>
      <c r="D19" s="383"/>
      <c r="E19" s="383"/>
      <c r="F19" s="383"/>
      <c r="G19" s="383"/>
      <c r="H19" s="762" t="s">
        <v>272</v>
      </c>
      <c r="I19" s="763"/>
      <c r="J19" s="763"/>
      <c r="K19" s="764"/>
      <c r="L19" s="384"/>
      <c r="M19" s="385"/>
      <c r="S19" s="368">
        <v>709266</v>
      </c>
      <c r="AI19" s="395"/>
      <c r="AJ19" s="396" t="s">
        <v>255</v>
      </c>
      <c r="AK19" s="397">
        <v>84563400</v>
      </c>
      <c r="AL19" s="398">
        <v>0</v>
      </c>
      <c r="AM19" s="399" t="e">
        <f t="shared" si="0"/>
        <v>#DIV/0!</v>
      </c>
      <c r="AN19" s="399"/>
    </row>
    <row r="20" spans="1:40" ht="24" customHeight="1">
      <c r="A20" s="381"/>
      <c r="B20" s="382"/>
      <c r="C20" s="383"/>
      <c r="D20" s="383"/>
      <c r="E20" s="383"/>
      <c r="F20" s="383"/>
      <c r="G20" s="383"/>
      <c r="H20" s="577" t="s">
        <v>200</v>
      </c>
      <c r="I20" s="400" t="s">
        <v>56</v>
      </c>
      <c r="J20" s="472">
        <v>99.73</v>
      </c>
      <c r="K20" s="573" t="s">
        <v>51</v>
      </c>
      <c r="L20" s="384"/>
      <c r="M20" s="385"/>
      <c r="S20" s="368">
        <v>10951834</v>
      </c>
      <c r="W20" s="368">
        <v>304044</v>
      </c>
      <c r="X20" s="368">
        <v>12443540</v>
      </c>
      <c r="Z20" s="368">
        <v>12690293</v>
      </c>
      <c r="AD20" s="368">
        <v>16191016</v>
      </c>
      <c r="AI20" s="395">
        <v>10</v>
      </c>
      <c r="AJ20" s="396" t="s">
        <v>256</v>
      </c>
      <c r="AK20" s="397">
        <v>305794900</v>
      </c>
      <c r="AL20" s="398">
        <v>18.23</v>
      </c>
      <c r="AM20" s="399" t="e">
        <f t="shared" si="0"/>
        <v>#DIV/0!</v>
      </c>
      <c r="AN20" s="399">
        <f>(AL20*AK20/AK20)</f>
        <v>18.23</v>
      </c>
    </row>
    <row r="21" spans="1:40" ht="24" customHeight="1">
      <c r="A21" s="381"/>
      <c r="B21" s="382"/>
      <c r="C21" s="383"/>
      <c r="D21" s="383"/>
      <c r="E21" s="383"/>
      <c r="F21" s="383"/>
      <c r="G21" s="383"/>
      <c r="H21" s="424"/>
      <c r="I21" s="425"/>
      <c r="J21" s="425"/>
      <c r="K21" s="426"/>
      <c r="L21" s="384"/>
      <c r="M21" s="385"/>
      <c r="AI21" s="395"/>
      <c r="AJ21" s="396" t="s">
        <v>257</v>
      </c>
      <c r="AK21" s="397">
        <v>391412000</v>
      </c>
      <c r="AL21" s="398">
        <v>0</v>
      </c>
      <c r="AM21" s="399" t="e">
        <f t="shared" si="0"/>
        <v>#DIV/0!</v>
      </c>
      <c r="AN21" s="399"/>
    </row>
    <row r="22" spans="1:40" ht="24" customHeight="1">
      <c r="A22" s="379" t="s">
        <v>147</v>
      </c>
      <c r="B22" s="302">
        <v>5.45</v>
      </c>
      <c r="C22" s="405">
        <v>0.96</v>
      </c>
      <c r="D22" s="405">
        <v>0.97</v>
      </c>
      <c r="E22" s="405">
        <v>0.98</v>
      </c>
      <c r="F22" s="405">
        <v>0.99</v>
      </c>
      <c r="G22" s="405">
        <v>1</v>
      </c>
      <c r="H22" s="738" t="s">
        <v>300</v>
      </c>
      <c r="I22" s="739"/>
      <c r="J22" s="739"/>
      <c r="K22" s="740"/>
      <c r="L22" s="303">
        <v>5</v>
      </c>
      <c r="M22" s="380">
        <f>IF(L22=0,"-",ROUND(L22*B22/B$71,4))</f>
        <v>0.32579999999999998</v>
      </c>
      <c r="Q22" s="368" t="s">
        <v>164</v>
      </c>
      <c r="R22" s="368" t="s">
        <v>165</v>
      </c>
      <c r="S22" s="368" t="s">
        <v>166</v>
      </c>
      <c r="T22" s="368" t="s">
        <v>167</v>
      </c>
      <c r="U22" s="368" t="s">
        <v>168</v>
      </c>
      <c r="V22" s="368" t="s">
        <v>169</v>
      </c>
      <c r="W22" s="368" t="s">
        <v>170</v>
      </c>
      <c r="X22" s="368" t="s">
        <v>171</v>
      </c>
      <c r="Y22" s="368" t="s">
        <v>172</v>
      </c>
      <c r="Z22" s="368" t="s">
        <v>173</v>
      </c>
      <c r="AA22" s="368" t="s">
        <v>174</v>
      </c>
      <c r="AB22" s="368" t="s">
        <v>175</v>
      </c>
      <c r="AC22" s="368" t="s">
        <v>176</v>
      </c>
      <c r="AD22" s="368" t="s">
        <v>178</v>
      </c>
      <c r="AE22" s="368" t="s">
        <v>20</v>
      </c>
      <c r="AI22" s="395"/>
      <c r="AJ22" s="396" t="s">
        <v>258</v>
      </c>
      <c r="AK22" s="397">
        <v>72151000</v>
      </c>
      <c r="AL22" s="398">
        <v>20.47</v>
      </c>
      <c r="AM22" s="399" t="e">
        <f t="shared" si="0"/>
        <v>#DIV/0!</v>
      </c>
      <c r="AN22" s="399"/>
    </row>
    <row r="23" spans="1:40" ht="24" customHeight="1">
      <c r="A23" s="381" t="s">
        <v>26</v>
      </c>
      <c r="B23" s="382"/>
      <c r="C23" s="383"/>
      <c r="D23" s="383"/>
      <c r="E23" s="383"/>
      <c r="F23" s="383"/>
      <c r="G23" s="383"/>
      <c r="H23" s="765" t="s">
        <v>301</v>
      </c>
      <c r="I23" s="766"/>
      <c r="J23" s="766"/>
      <c r="K23" s="767"/>
      <c r="L23" s="384"/>
      <c r="M23" s="385"/>
      <c r="P23" s="368" t="s">
        <v>179</v>
      </c>
      <c r="Q23" s="368">
        <v>0</v>
      </c>
      <c r="R23" s="368" t="e">
        <f>R25+#REF!</f>
        <v>#REF!</v>
      </c>
      <c r="S23" s="368" t="e">
        <f>S25+#REF!+S26+S27+S28+S29+S30+S31</f>
        <v>#REF!</v>
      </c>
      <c r="T23" s="368">
        <v>15621046</v>
      </c>
      <c r="W23" s="368" t="e">
        <f>W25+#REF!</f>
        <v>#REF!</v>
      </c>
      <c r="X23" s="368" t="e">
        <f>X25+#REF!</f>
        <v>#REF!</v>
      </c>
      <c r="Y23" s="368">
        <v>3065219</v>
      </c>
      <c r="Z23" s="368" t="e">
        <f>Z25+#REF!</f>
        <v>#REF!</v>
      </c>
      <c r="AA23" s="368">
        <v>5762411</v>
      </c>
      <c r="AB23" s="368">
        <v>15507983</v>
      </c>
      <c r="AD23" s="368" t="e">
        <f>AD25+#REF!</f>
        <v>#REF!</v>
      </c>
      <c r="AE23" s="368" t="e">
        <f>Q23+R23+S23+T23+W23+X23+Y23+AA23+AB23+AD23</f>
        <v>#REF!</v>
      </c>
      <c r="AF23" s="368" t="e">
        <f>AE23/AE24*100</f>
        <v>#REF!</v>
      </c>
      <c r="AG23" s="368" t="e">
        <f>R23+T23+W23+X23+Y23+Z23+AA23+AB23+AD23</f>
        <v>#REF!</v>
      </c>
      <c r="AH23" s="368" t="e">
        <f>AG23/AG24*100</f>
        <v>#REF!</v>
      </c>
      <c r="AI23" s="395">
        <v>12</v>
      </c>
      <c r="AJ23" s="396" t="s">
        <v>259</v>
      </c>
      <c r="AK23" s="397">
        <v>232129108</v>
      </c>
      <c r="AL23" s="398">
        <v>8.2200000000000006</v>
      </c>
      <c r="AM23" s="399" t="e">
        <f t="shared" si="0"/>
        <v>#DIV/0!</v>
      </c>
      <c r="AN23" s="399">
        <f t="shared" si="1"/>
        <v>8.2200000000000006</v>
      </c>
    </row>
    <row r="24" spans="1:40" ht="24" customHeight="1">
      <c r="A24" s="381"/>
      <c r="B24" s="382"/>
      <c r="C24" s="383"/>
      <c r="D24" s="383"/>
      <c r="E24" s="383"/>
      <c r="F24" s="383"/>
      <c r="G24" s="383"/>
      <c r="H24" s="765" t="s">
        <v>302</v>
      </c>
      <c r="I24" s="766"/>
      <c r="J24" s="766"/>
      <c r="K24" s="767"/>
      <c r="L24" s="384"/>
      <c r="M24" s="385"/>
      <c r="P24" s="368" t="s">
        <v>177</v>
      </c>
      <c r="Q24" s="368">
        <v>0</v>
      </c>
      <c r="R24" s="368" t="e">
        <f>#REF!+R20</f>
        <v>#REF!</v>
      </c>
      <c r="S24" s="368" t="e">
        <f>#REF!+S20+S19+S18+S17+S16+#REF!+#REF!</f>
        <v>#REF!</v>
      </c>
      <c r="T24" s="368">
        <v>31415454</v>
      </c>
      <c r="W24" s="368" t="e">
        <f>#REF!+W20</f>
        <v>#REF!</v>
      </c>
      <c r="X24" s="368" t="e">
        <f>#REF!+X20</f>
        <v>#REF!</v>
      </c>
      <c r="Y24" s="368">
        <v>3065219</v>
      </c>
      <c r="Z24" s="368" t="e">
        <f>#REF!+Z20</f>
        <v>#REF!</v>
      </c>
      <c r="AA24" s="368">
        <v>5836386</v>
      </c>
      <c r="AB24" s="368">
        <v>15507983</v>
      </c>
      <c r="AD24" s="368" t="e">
        <f>#REF!+AD20</f>
        <v>#REF!</v>
      </c>
      <c r="AE24" s="368" t="e">
        <f>Q24+R24+S24+T24+W24+X24+Y24+Z24+AA24+AB24+AD24</f>
        <v>#REF!</v>
      </c>
      <c r="AG24" s="368" t="e">
        <f>R24+T24+W24+X24+Y24+Z24+AA24+AB24</f>
        <v>#REF!</v>
      </c>
      <c r="AI24" s="395">
        <v>13</v>
      </c>
      <c r="AJ24" s="396" t="s">
        <v>260</v>
      </c>
      <c r="AK24" s="397">
        <v>75897000</v>
      </c>
      <c r="AL24" s="398">
        <v>11.23</v>
      </c>
      <c r="AM24" s="399" t="e">
        <f t="shared" si="0"/>
        <v>#DIV/0!</v>
      </c>
      <c r="AN24" s="399" t="e">
        <f>(AL24*AK24/(AK24+AK25+#REF!))+(AL25*AK25/(AK24+AK25+#REF!))+(#REF!*#REF!/(AK24+AK25+#REF!))</f>
        <v>#REF!</v>
      </c>
    </row>
    <row r="25" spans="1:40" ht="24" customHeight="1">
      <c r="A25" s="381"/>
      <c r="B25" s="382"/>
      <c r="C25" s="383"/>
      <c r="D25" s="383"/>
      <c r="E25" s="383"/>
      <c r="F25" s="383"/>
      <c r="G25" s="383"/>
      <c r="H25" s="571"/>
      <c r="I25" s="400" t="s">
        <v>56</v>
      </c>
      <c r="J25" s="472">
        <v>100</v>
      </c>
      <c r="K25" s="573" t="s">
        <v>51</v>
      </c>
      <c r="L25" s="384"/>
      <c r="M25" s="385"/>
      <c r="R25" s="368">
        <v>790426</v>
      </c>
      <c r="S25" s="368">
        <v>5889465</v>
      </c>
      <c r="W25" s="368">
        <v>28318909</v>
      </c>
      <c r="X25" s="368">
        <v>45861247</v>
      </c>
      <c r="Z25" s="368">
        <v>117026964</v>
      </c>
      <c r="AD25" s="368">
        <v>7959313</v>
      </c>
      <c r="AI25" s="395"/>
      <c r="AJ25" s="396" t="s">
        <v>261</v>
      </c>
      <c r="AK25" s="397">
        <v>28808000</v>
      </c>
      <c r="AL25" s="398">
        <v>79.489999999999995</v>
      </c>
      <c r="AM25" s="399" t="e">
        <f t="shared" si="0"/>
        <v>#DIV/0!</v>
      </c>
      <c r="AN25" s="399"/>
    </row>
    <row r="26" spans="1:40" ht="24" customHeight="1">
      <c r="A26" s="507"/>
      <c r="B26" s="508"/>
      <c r="C26" s="509"/>
      <c r="D26" s="509"/>
      <c r="E26" s="509"/>
      <c r="F26" s="509"/>
      <c r="G26" s="509"/>
      <c r="H26" s="511"/>
      <c r="I26" s="587"/>
      <c r="J26" s="587"/>
      <c r="K26" s="588"/>
      <c r="L26" s="510"/>
      <c r="M26" s="376"/>
      <c r="S26" s="368">
        <v>673915</v>
      </c>
      <c r="AI26" s="771" t="s">
        <v>20</v>
      </c>
      <c r="AJ26" s="772"/>
      <c r="AK26" s="408">
        <f>SUM(AK9:AK25)</f>
        <v>4282472334</v>
      </c>
      <c r="AL26" s="409" t="e">
        <f>SUM(AM9:AM25)</f>
        <v>#DIV/0!</v>
      </c>
      <c r="AM26" s="399"/>
      <c r="AN26" s="399"/>
    </row>
    <row r="27" spans="1:40" ht="24" customHeight="1">
      <c r="A27" s="379" t="s">
        <v>148</v>
      </c>
      <c r="B27" s="302">
        <v>5.45</v>
      </c>
      <c r="C27" s="405">
        <v>0.96</v>
      </c>
      <c r="D27" s="405">
        <v>0.97</v>
      </c>
      <c r="E27" s="405">
        <v>0.98</v>
      </c>
      <c r="F27" s="405">
        <v>0.99</v>
      </c>
      <c r="G27" s="405">
        <v>1</v>
      </c>
      <c r="H27" s="779" t="s">
        <v>323</v>
      </c>
      <c r="I27" s="780"/>
      <c r="J27" s="780"/>
      <c r="K27" s="781"/>
      <c r="L27" s="303">
        <v>5</v>
      </c>
      <c r="M27" s="380">
        <f>IF(L27=0,"-",ROUND(L27*B27/B$71,4))</f>
        <v>0.32579999999999998</v>
      </c>
      <c r="S27" s="368">
        <v>59800</v>
      </c>
      <c r="AI27" s="430"/>
      <c r="AJ27" s="431"/>
      <c r="AK27" s="432"/>
      <c r="AL27" s="433"/>
      <c r="AM27" s="434"/>
      <c r="AN27" s="434"/>
    </row>
    <row r="28" spans="1:40" ht="24" customHeight="1">
      <c r="A28" s="381" t="s">
        <v>28</v>
      </c>
      <c r="B28" s="382"/>
      <c r="C28" s="383"/>
      <c r="D28" s="383"/>
      <c r="E28" s="383"/>
      <c r="F28" s="383"/>
      <c r="G28" s="383"/>
      <c r="H28" s="762" t="s">
        <v>324</v>
      </c>
      <c r="I28" s="763"/>
      <c r="J28" s="763"/>
      <c r="K28" s="764"/>
      <c r="L28" s="384"/>
      <c r="M28" s="385"/>
      <c r="S28" s="368">
        <v>921324</v>
      </c>
      <c r="AI28" s="430"/>
      <c r="AJ28" s="431"/>
      <c r="AK28" s="432"/>
      <c r="AL28" s="433"/>
      <c r="AM28" s="434"/>
      <c r="AN28" s="434"/>
    </row>
    <row r="29" spans="1:40" ht="24" customHeight="1">
      <c r="A29" s="381" t="s">
        <v>60</v>
      </c>
      <c r="B29" s="382"/>
      <c r="C29" s="383"/>
      <c r="D29" s="383"/>
      <c r="E29" s="383"/>
      <c r="F29" s="383"/>
      <c r="G29" s="383"/>
      <c r="H29" s="762" t="s">
        <v>325</v>
      </c>
      <c r="I29" s="763"/>
      <c r="J29" s="763"/>
      <c r="K29" s="764"/>
      <c r="L29" s="384"/>
      <c r="M29" s="385"/>
      <c r="S29" s="368">
        <v>278675</v>
      </c>
      <c r="AI29" s="447" t="s">
        <v>263</v>
      </c>
      <c r="AJ29" s="435" t="s">
        <v>14</v>
      </c>
      <c r="AK29" s="436" t="s">
        <v>264</v>
      </c>
      <c r="AL29" s="437" t="s">
        <v>86</v>
      </c>
      <c r="AM29" s="438"/>
      <c r="AN29" s="438" t="s">
        <v>265</v>
      </c>
    </row>
    <row r="30" spans="1:40" ht="24" customHeight="1">
      <c r="A30" s="381"/>
      <c r="B30" s="382"/>
      <c r="C30" s="383"/>
      <c r="D30" s="383"/>
      <c r="E30" s="383"/>
      <c r="F30" s="383"/>
      <c r="G30" s="383"/>
      <c r="H30" s="577"/>
      <c r="I30" s="400" t="s">
        <v>66</v>
      </c>
      <c r="J30" s="591">
        <v>13</v>
      </c>
      <c r="K30" s="578" t="s">
        <v>61</v>
      </c>
      <c r="L30" s="384"/>
      <c r="M30" s="385"/>
      <c r="S30" s="368">
        <v>250781</v>
      </c>
      <c r="AI30" s="439">
        <v>2</v>
      </c>
      <c r="AJ30" s="440" t="s">
        <v>266</v>
      </c>
      <c r="AK30" s="441">
        <v>300000</v>
      </c>
      <c r="AL30" s="442">
        <v>25981.55</v>
      </c>
      <c r="AM30" s="443"/>
      <c r="AN30" s="443">
        <f>AL30*100/AK30</f>
        <v>8.6605166666666662</v>
      </c>
    </row>
    <row r="31" spans="1:40" ht="24" customHeight="1">
      <c r="A31" s="381"/>
      <c r="B31" s="382"/>
      <c r="C31" s="383"/>
      <c r="D31" s="383"/>
      <c r="E31" s="383"/>
      <c r="F31" s="383"/>
      <c r="G31" s="383"/>
      <c r="H31" s="577"/>
      <c r="I31" s="400" t="s">
        <v>67</v>
      </c>
      <c r="J31" s="591">
        <v>13</v>
      </c>
      <c r="K31" s="578" t="s">
        <v>61</v>
      </c>
      <c r="L31" s="384"/>
      <c r="M31" s="385"/>
      <c r="S31" s="368">
        <v>39205</v>
      </c>
      <c r="AI31" s="395">
        <v>3</v>
      </c>
      <c r="AJ31" s="396" t="s">
        <v>267</v>
      </c>
      <c r="AK31" s="397">
        <v>300000</v>
      </c>
      <c r="AL31" s="410">
        <v>26160</v>
      </c>
      <c r="AM31" s="411"/>
      <c r="AN31" s="411">
        <f t="shared" ref="AN31:AN44" si="2">AL31*100/AK31</f>
        <v>8.7200000000000006</v>
      </c>
    </row>
    <row r="32" spans="1:40" ht="24" customHeight="1">
      <c r="A32" s="381"/>
      <c r="B32" s="382"/>
      <c r="C32" s="383"/>
      <c r="D32" s="383"/>
      <c r="E32" s="383"/>
      <c r="F32" s="383"/>
      <c r="G32" s="383"/>
      <c r="H32" s="571"/>
      <c r="I32" s="589" t="s">
        <v>81</v>
      </c>
      <c r="J32" s="532">
        <f>J31*100/J30</f>
        <v>100</v>
      </c>
      <c r="K32" s="573" t="s">
        <v>51</v>
      </c>
      <c r="L32" s="384"/>
      <c r="M32" s="385"/>
      <c r="AI32" s="395">
        <v>4</v>
      </c>
      <c r="AJ32" s="396" t="s">
        <v>268</v>
      </c>
      <c r="AK32" s="397">
        <v>500000</v>
      </c>
      <c r="AL32" s="410">
        <v>166219.85</v>
      </c>
      <c r="AM32" s="411"/>
      <c r="AN32" s="411">
        <f t="shared" si="2"/>
        <v>33.243969999999997</v>
      </c>
    </row>
    <row r="33" spans="1:40" ht="24" customHeight="1">
      <c r="A33" s="507"/>
      <c r="B33" s="508"/>
      <c r="C33" s="509"/>
      <c r="D33" s="509"/>
      <c r="E33" s="509"/>
      <c r="F33" s="509"/>
      <c r="G33" s="509"/>
      <c r="H33" s="773"/>
      <c r="I33" s="769"/>
      <c r="J33" s="769"/>
      <c r="K33" s="770"/>
      <c r="L33" s="510"/>
      <c r="M33" s="376"/>
      <c r="AI33" s="395">
        <v>6</v>
      </c>
      <c r="AJ33" s="396" t="s">
        <v>269</v>
      </c>
      <c r="AK33" s="397">
        <v>300000</v>
      </c>
      <c r="AL33" s="410">
        <v>49020</v>
      </c>
      <c r="AM33" s="411"/>
      <c r="AN33" s="411">
        <f t="shared" si="2"/>
        <v>16.34</v>
      </c>
    </row>
    <row r="34" spans="1:40" ht="24" customHeight="1">
      <c r="A34" s="379" t="s">
        <v>160</v>
      </c>
      <c r="B34" s="302">
        <v>5.45</v>
      </c>
      <c r="C34" s="405">
        <v>0.5</v>
      </c>
      <c r="D34" s="405">
        <v>0.75</v>
      </c>
      <c r="E34" s="405">
        <v>1</v>
      </c>
      <c r="F34" s="405">
        <v>1</v>
      </c>
      <c r="G34" s="405">
        <v>1</v>
      </c>
      <c r="H34" s="738" t="s">
        <v>309</v>
      </c>
      <c r="I34" s="739"/>
      <c r="J34" s="739"/>
      <c r="K34" s="740"/>
      <c r="L34" s="303">
        <v>1</v>
      </c>
      <c r="M34" s="380">
        <f>IF(L34=0,"-",ROUND(L34*B34/B$71,4))</f>
        <v>6.5199999999999994E-2</v>
      </c>
      <c r="AI34" s="395">
        <v>9</v>
      </c>
      <c r="AJ34" s="396" t="s">
        <v>271</v>
      </c>
      <c r="AK34" s="397">
        <v>300000</v>
      </c>
      <c r="AL34" s="410">
        <v>0</v>
      </c>
      <c r="AM34" s="411"/>
      <c r="AN34" s="411">
        <f t="shared" si="2"/>
        <v>0</v>
      </c>
    </row>
    <row r="35" spans="1:40" ht="24" customHeight="1">
      <c r="A35" s="381" t="s">
        <v>161</v>
      </c>
      <c r="B35" s="515"/>
      <c r="C35" s="516"/>
      <c r="D35" s="516"/>
      <c r="E35" s="516"/>
      <c r="F35" s="516" t="s">
        <v>70</v>
      </c>
      <c r="G35" s="516" t="s">
        <v>70</v>
      </c>
      <c r="H35" s="763" t="s">
        <v>213</v>
      </c>
      <c r="I35" s="763"/>
      <c r="J35" s="763"/>
      <c r="K35" s="764"/>
      <c r="L35" s="384"/>
      <c r="M35" s="385"/>
      <c r="AI35" s="395">
        <v>11</v>
      </c>
      <c r="AJ35" s="396" t="s">
        <v>273</v>
      </c>
      <c r="AK35" s="397">
        <v>500000</v>
      </c>
      <c r="AL35" s="410">
        <v>62536.11</v>
      </c>
      <c r="AM35" s="411"/>
      <c r="AN35" s="411">
        <f t="shared" si="2"/>
        <v>12.507222000000001</v>
      </c>
    </row>
    <row r="36" spans="1:40" ht="24" customHeight="1">
      <c r="A36" s="381" t="s">
        <v>310</v>
      </c>
      <c r="B36" s="515"/>
      <c r="C36" s="516"/>
      <c r="D36" s="516"/>
      <c r="E36" s="516"/>
      <c r="F36" s="516" t="s">
        <v>138</v>
      </c>
      <c r="G36" s="516" t="s">
        <v>139</v>
      </c>
      <c r="H36" s="577" t="s">
        <v>200</v>
      </c>
      <c r="I36" s="400" t="s">
        <v>56</v>
      </c>
      <c r="J36" s="472">
        <v>0</v>
      </c>
      <c r="K36" s="573" t="s">
        <v>51</v>
      </c>
      <c r="L36" s="384"/>
      <c r="M36" s="385"/>
      <c r="AI36" s="395"/>
      <c r="AJ36" s="396" t="s">
        <v>275</v>
      </c>
      <c r="AK36" s="397">
        <v>300000</v>
      </c>
      <c r="AL36" s="410">
        <v>57903.85</v>
      </c>
      <c r="AM36" s="411"/>
      <c r="AN36" s="411">
        <f t="shared" si="2"/>
        <v>19.301283333333334</v>
      </c>
    </row>
    <row r="37" spans="1:40" ht="24" customHeight="1">
      <c r="A37" s="507"/>
      <c r="B37" s="508"/>
      <c r="C37" s="509"/>
      <c r="D37" s="509"/>
      <c r="E37" s="509"/>
      <c r="F37" s="509"/>
      <c r="G37" s="509"/>
      <c r="H37" s="773"/>
      <c r="I37" s="774"/>
      <c r="J37" s="774"/>
      <c r="K37" s="775"/>
      <c r="L37" s="510"/>
      <c r="M37" s="376"/>
      <c r="AI37" s="395"/>
      <c r="AJ37" s="396" t="s">
        <v>276</v>
      </c>
      <c r="AK37" s="397">
        <v>300000</v>
      </c>
      <c r="AL37" s="410">
        <v>94848.7</v>
      </c>
      <c r="AM37" s="411"/>
      <c r="AN37" s="411">
        <f t="shared" si="2"/>
        <v>31.616233333333334</v>
      </c>
    </row>
    <row r="38" spans="1:40" ht="24" customHeight="1">
      <c r="A38" s="379" t="s">
        <v>149</v>
      </c>
      <c r="B38" s="302">
        <v>16.36</v>
      </c>
      <c r="C38" s="405">
        <v>0.75</v>
      </c>
      <c r="D38" s="405">
        <v>0.78</v>
      </c>
      <c r="E38" s="405">
        <v>0.81</v>
      </c>
      <c r="F38" s="405">
        <v>0.84</v>
      </c>
      <c r="G38" s="405">
        <v>0.87</v>
      </c>
      <c r="H38" s="738" t="s">
        <v>303</v>
      </c>
      <c r="I38" s="739"/>
      <c r="J38" s="739"/>
      <c r="K38" s="740"/>
      <c r="L38" s="303">
        <v>5</v>
      </c>
      <c r="M38" s="380">
        <f>IF(L38=0,"-",ROUND(L38*B38/B$71,4))</f>
        <v>0.97799999999999998</v>
      </c>
      <c r="AI38" s="395">
        <v>13</v>
      </c>
      <c r="AJ38" s="396" t="s">
        <v>281</v>
      </c>
      <c r="AK38" s="397">
        <v>300000</v>
      </c>
      <c r="AL38" s="410">
        <v>205897.2</v>
      </c>
      <c r="AM38" s="411"/>
      <c r="AN38" s="411">
        <f t="shared" si="2"/>
        <v>68.632400000000004</v>
      </c>
    </row>
    <row r="39" spans="1:40" ht="24" customHeight="1">
      <c r="A39" s="381" t="s">
        <v>137</v>
      </c>
      <c r="B39" s="382"/>
      <c r="C39" s="383"/>
      <c r="D39" s="383"/>
      <c r="E39" s="383"/>
      <c r="F39" s="383"/>
      <c r="G39" s="383"/>
      <c r="H39" s="762" t="s">
        <v>272</v>
      </c>
      <c r="I39" s="763"/>
      <c r="J39" s="763"/>
      <c r="K39" s="764"/>
      <c r="L39" s="384"/>
      <c r="M39" s="385"/>
      <c r="AI39" s="395"/>
      <c r="AJ39" s="396" t="s">
        <v>282</v>
      </c>
      <c r="AK39" s="397">
        <v>300000</v>
      </c>
      <c r="AL39" s="410">
        <v>100339.9</v>
      </c>
      <c r="AM39" s="411"/>
      <c r="AN39" s="411">
        <f t="shared" si="2"/>
        <v>33.446633333333331</v>
      </c>
    </row>
    <row r="40" spans="1:40" ht="24" customHeight="1">
      <c r="A40" s="381"/>
      <c r="B40" s="382"/>
      <c r="C40" s="383"/>
      <c r="D40" s="383"/>
      <c r="E40" s="383"/>
      <c r="F40" s="383"/>
      <c r="G40" s="383"/>
      <c r="H40" s="589"/>
      <c r="I40" s="589" t="s">
        <v>87</v>
      </c>
      <c r="J40" s="590">
        <v>533069500</v>
      </c>
      <c r="K40" s="573" t="s">
        <v>163</v>
      </c>
      <c r="L40" s="384"/>
      <c r="M40" s="385"/>
      <c r="AI40" s="395"/>
      <c r="AJ40" s="396" t="s">
        <v>283</v>
      </c>
      <c r="AK40" s="397">
        <v>300000</v>
      </c>
      <c r="AL40" s="410">
        <v>57000</v>
      </c>
      <c r="AM40" s="411"/>
      <c r="AN40" s="411">
        <f t="shared" si="2"/>
        <v>19</v>
      </c>
    </row>
    <row r="41" spans="1:40" ht="24" customHeight="1">
      <c r="A41" s="381"/>
      <c r="B41" s="382"/>
      <c r="C41" s="383"/>
      <c r="D41" s="383"/>
      <c r="E41" s="383"/>
      <c r="F41" s="383"/>
      <c r="G41" s="383"/>
      <c r="H41" s="589"/>
      <c r="I41" s="400" t="s">
        <v>195</v>
      </c>
      <c r="J41" s="591">
        <v>345107775</v>
      </c>
      <c r="K41" s="573" t="s">
        <v>163</v>
      </c>
      <c r="L41" s="384"/>
      <c r="M41" s="385"/>
      <c r="AI41" s="395"/>
      <c r="AJ41" s="396" t="s">
        <v>284</v>
      </c>
      <c r="AK41" s="397">
        <v>300000</v>
      </c>
      <c r="AL41" s="410">
        <v>54914.85</v>
      </c>
      <c r="AM41" s="411"/>
      <c r="AN41" s="411">
        <f t="shared" si="2"/>
        <v>18.304950000000002</v>
      </c>
    </row>
    <row r="42" spans="1:40" ht="24" customHeight="1">
      <c r="A42" s="381"/>
      <c r="B42" s="382"/>
      <c r="C42" s="383"/>
      <c r="D42" s="383"/>
      <c r="E42" s="383"/>
      <c r="F42" s="383"/>
      <c r="G42" s="383"/>
      <c r="H42" s="589"/>
      <c r="I42" s="400" t="s">
        <v>196</v>
      </c>
      <c r="J42" s="472">
        <v>97.9</v>
      </c>
      <c r="K42" s="573" t="s">
        <v>51</v>
      </c>
      <c r="L42" s="384"/>
      <c r="M42" s="385"/>
      <c r="AI42" s="395"/>
      <c r="AJ42" s="396" t="s">
        <v>285</v>
      </c>
      <c r="AK42" s="397">
        <v>300000</v>
      </c>
      <c r="AL42" s="410">
        <v>66279.649999999994</v>
      </c>
      <c r="AM42" s="411"/>
      <c r="AN42" s="411">
        <f t="shared" si="2"/>
        <v>22.093216666666663</v>
      </c>
    </row>
    <row r="43" spans="1:40" ht="24" customHeight="1">
      <c r="A43" s="507"/>
      <c r="B43" s="508"/>
      <c r="C43" s="509"/>
      <c r="D43" s="509"/>
      <c r="E43" s="509"/>
      <c r="F43" s="509"/>
      <c r="G43" s="509"/>
      <c r="H43" s="592"/>
      <c r="I43" s="587"/>
      <c r="J43" s="593"/>
      <c r="K43" s="588"/>
      <c r="L43" s="510"/>
      <c r="M43" s="376"/>
      <c r="AI43" s="395"/>
      <c r="AJ43" s="396" t="s">
        <v>286</v>
      </c>
      <c r="AK43" s="397">
        <v>500000</v>
      </c>
      <c r="AL43" s="410">
        <v>147338.20000000001</v>
      </c>
      <c r="AM43" s="411"/>
      <c r="AN43" s="411">
        <f t="shared" si="2"/>
        <v>29.467640000000003</v>
      </c>
    </row>
    <row r="44" spans="1:40" ht="24" customHeight="1">
      <c r="A44" s="379" t="s">
        <v>150</v>
      </c>
      <c r="B44" s="302">
        <v>1.87</v>
      </c>
      <c r="C44" s="405">
        <v>0.6</v>
      </c>
      <c r="D44" s="405">
        <v>0.65</v>
      </c>
      <c r="E44" s="405">
        <v>0.7</v>
      </c>
      <c r="F44" s="405">
        <v>0.75</v>
      </c>
      <c r="G44" s="405">
        <v>0.8</v>
      </c>
      <c r="H44" s="738" t="s">
        <v>222</v>
      </c>
      <c r="I44" s="739"/>
      <c r="J44" s="739"/>
      <c r="K44" s="740"/>
      <c r="L44" s="303">
        <v>5</v>
      </c>
      <c r="M44" s="380">
        <f>IF(L44=0,"-",ROUND(L44*B44/B$71,4))</f>
        <v>0.1118</v>
      </c>
      <c r="AI44" s="395"/>
      <c r="AJ44" s="396" t="s">
        <v>277</v>
      </c>
      <c r="AK44" s="397">
        <v>500000</v>
      </c>
      <c r="AL44" s="410">
        <v>150000</v>
      </c>
      <c r="AM44" s="411"/>
      <c r="AN44" s="411">
        <f t="shared" si="2"/>
        <v>30</v>
      </c>
    </row>
    <row r="45" spans="1:40" ht="24" customHeight="1">
      <c r="A45" s="381" t="s">
        <v>151</v>
      </c>
      <c r="B45" s="515"/>
      <c r="C45" s="594"/>
      <c r="D45" s="594"/>
      <c r="E45" s="594"/>
      <c r="F45" s="594"/>
      <c r="G45" s="594"/>
      <c r="H45" s="762" t="s">
        <v>223</v>
      </c>
      <c r="I45" s="763"/>
      <c r="J45" s="763"/>
      <c r="K45" s="764"/>
      <c r="L45" s="384"/>
      <c r="M45" s="385"/>
      <c r="AI45" s="395"/>
      <c r="AJ45" s="396"/>
      <c r="AK45" s="397" t="e">
        <f>AK30+AK31+AK32+#REF!+AK33+AK34+AK35+AK36+#REF!+AK37+AK38+AK39+AK40+AK41+AK42+AK43+AK44</f>
        <v>#REF!</v>
      </c>
      <c r="AL45" s="410" t="e">
        <f>AL30+AL31+AL32+#REF!+AL33+AL34+AL35+AL36+#REF!+AL37+AL38+AL39+AL40+AL41+AL42+AL43+AL44</f>
        <v>#REF!</v>
      </c>
      <c r="AM45" s="411"/>
      <c r="AN45" s="411" t="e">
        <f>AL45*100/AK45</f>
        <v>#REF!</v>
      </c>
    </row>
    <row r="46" spans="1:40" ht="24" customHeight="1">
      <c r="A46" s="381" t="s">
        <v>91</v>
      </c>
      <c r="B46" s="382"/>
      <c r="C46" s="383"/>
      <c r="D46" s="383"/>
      <c r="E46" s="383"/>
      <c r="F46" s="383"/>
      <c r="G46" s="383"/>
      <c r="H46" s="762" t="s">
        <v>224</v>
      </c>
      <c r="I46" s="763"/>
      <c r="J46" s="763"/>
      <c r="K46" s="764"/>
      <c r="L46" s="384"/>
      <c r="M46" s="385"/>
    </row>
    <row r="47" spans="1:40" ht="24" customHeight="1">
      <c r="A47" s="381"/>
      <c r="B47" s="382"/>
      <c r="C47" s="383"/>
      <c r="D47" s="383"/>
      <c r="E47" s="383"/>
      <c r="F47" s="383"/>
      <c r="G47" s="383"/>
      <c r="H47" s="577"/>
      <c r="I47" s="400" t="s">
        <v>97</v>
      </c>
      <c r="J47" s="591">
        <v>271</v>
      </c>
      <c r="K47" s="578" t="s">
        <v>96</v>
      </c>
      <c r="L47" s="384"/>
      <c r="M47" s="385"/>
    </row>
    <row r="48" spans="1:40" ht="24" customHeight="1">
      <c r="A48" s="381"/>
      <c r="B48" s="382"/>
      <c r="C48" s="383"/>
      <c r="D48" s="383"/>
      <c r="E48" s="383"/>
      <c r="F48" s="383"/>
      <c r="G48" s="383"/>
      <c r="H48" s="577"/>
      <c r="I48" s="400" t="s">
        <v>98</v>
      </c>
      <c r="J48" s="591">
        <v>271</v>
      </c>
      <c r="K48" s="578" t="s">
        <v>96</v>
      </c>
      <c r="L48" s="384"/>
      <c r="M48" s="385"/>
    </row>
    <row r="49" spans="1:34" ht="24" customHeight="1">
      <c r="A49" s="381"/>
      <c r="B49" s="382"/>
      <c r="C49" s="383"/>
      <c r="D49" s="383"/>
      <c r="E49" s="383"/>
      <c r="F49" s="383"/>
      <c r="G49" s="383"/>
      <c r="H49" s="571"/>
      <c r="I49" s="400" t="s">
        <v>35</v>
      </c>
      <c r="J49" s="486">
        <f>ROUND(J48*100/J47,2)</f>
        <v>100</v>
      </c>
      <c r="K49" s="573" t="s">
        <v>51</v>
      </c>
      <c r="L49" s="384"/>
      <c r="M49" s="385"/>
    </row>
    <row r="50" spans="1:34" ht="24" customHeight="1">
      <c r="A50" s="507"/>
      <c r="B50" s="508"/>
      <c r="C50" s="509"/>
      <c r="D50" s="509"/>
      <c r="E50" s="509"/>
      <c r="F50" s="509"/>
      <c r="G50" s="509"/>
      <c r="H50" s="595"/>
      <c r="I50" s="596"/>
      <c r="J50" s="596"/>
      <c r="K50" s="574"/>
      <c r="L50" s="510"/>
      <c r="M50" s="376"/>
    </row>
    <row r="51" spans="1:34" ht="24" customHeight="1">
      <c r="A51" s="597" t="s">
        <v>152</v>
      </c>
      <c r="B51" s="490">
        <v>5.45</v>
      </c>
      <c r="C51" s="598">
        <v>0.65</v>
      </c>
      <c r="D51" s="598">
        <v>0.7</v>
      </c>
      <c r="E51" s="598">
        <v>0.75</v>
      </c>
      <c r="F51" s="598">
        <v>0.8</v>
      </c>
      <c r="G51" s="598">
        <v>0.85</v>
      </c>
      <c r="H51" s="738" t="s">
        <v>225</v>
      </c>
      <c r="I51" s="739"/>
      <c r="J51" s="739"/>
      <c r="K51" s="740"/>
      <c r="L51" s="303">
        <v>4.7939999999999996</v>
      </c>
      <c r="M51" s="380">
        <f>IF(L51=0,"-",ROUND(L51*B51/B$71,4))</f>
        <v>0.31240000000000001</v>
      </c>
    </row>
    <row r="52" spans="1:34" ht="24" customHeight="1">
      <c r="A52" s="381" t="s">
        <v>153</v>
      </c>
      <c r="B52" s="382"/>
      <c r="C52" s="383"/>
      <c r="D52" s="383"/>
      <c r="E52" s="383"/>
      <c r="F52" s="383"/>
      <c r="G52" s="383"/>
      <c r="H52" s="762" t="s">
        <v>226</v>
      </c>
      <c r="I52" s="763"/>
      <c r="J52" s="763"/>
      <c r="K52" s="764"/>
      <c r="L52" s="384"/>
      <c r="M52" s="385"/>
    </row>
    <row r="53" spans="1:34" ht="24" customHeight="1">
      <c r="A53" s="599" t="s">
        <v>162</v>
      </c>
      <c r="B53" s="382"/>
      <c r="C53" s="383"/>
      <c r="D53" s="383"/>
      <c r="E53" s="383"/>
      <c r="F53" s="383"/>
      <c r="G53" s="383"/>
      <c r="H53" s="577" t="s">
        <v>200</v>
      </c>
      <c r="I53" s="600" t="s">
        <v>113</v>
      </c>
      <c r="J53" s="486">
        <v>83.97</v>
      </c>
      <c r="K53" s="573" t="s">
        <v>51</v>
      </c>
      <c r="L53" s="384"/>
      <c r="M53" s="385"/>
    </row>
    <row r="54" spans="1:34" ht="24" customHeight="1">
      <c r="A54" s="381"/>
      <c r="B54" s="382"/>
      <c r="C54" s="383"/>
      <c r="D54" s="383"/>
      <c r="E54" s="383"/>
      <c r="F54" s="383"/>
      <c r="G54" s="517"/>
      <c r="H54" s="601"/>
      <c r="I54" s="601"/>
      <c r="J54" s="601"/>
      <c r="K54" s="601"/>
      <c r="L54" s="384"/>
      <c r="M54" s="385"/>
    </row>
    <row r="55" spans="1:34" ht="24" customHeight="1">
      <c r="A55" s="379" t="s">
        <v>154</v>
      </c>
      <c r="B55" s="490">
        <v>5.45</v>
      </c>
      <c r="C55" s="496" t="s">
        <v>29</v>
      </c>
      <c r="D55" s="496" t="s">
        <v>30</v>
      </c>
      <c r="E55" s="496" t="s">
        <v>31</v>
      </c>
      <c r="F55" s="496" t="s">
        <v>32</v>
      </c>
      <c r="G55" s="496" t="s">
        <v>33</v>
      </c>
      <c r="H55" s="738" t="s">
        <v>227</v>
      </c>
      <c r="I55" s="739"/>
      <c r="J55" s="739"/>
      <c r="K55" s="740"/>
      <c r="L55" s="303">
        <v>1</v>
      </c>
      <c r="M55" s="380">
        <f>IF(L55=0,"-",ROUND(L55*B55/B$71,4))</f>
        <v>6.5199999999999994E-2</v>
      </c>
    </row>
    <row r="56" spans="1:34" ht="24" customHeight="1">
      <c r="A56" s="381" t="s">
        <v>107</v>
      </c>
      <c r="B56" s="382"/>
      <c r="C56" s="497">
        <v>1.5</v>
      </c>
      <c r="D56" s="497">
        <v>2</v>
      </c>
      <c r="E56" s="497">
        <v>2.5</v>
      </c>
      <c r="F56" s="497">
        <v>3</v>
      </c>
      <c r="G56" s="497">
        <v>5</v>
      </c>
      <c r="H56" s="762" t="s">
        <v>228</v>
      </c>
      <c r="I56" s="763"/>
      <c r="J56" s="763"/>
      <c r="K56" s="764"/>
      <c r="L56" s="384"/>
      <c r="M56" s="385"/>
    </row>
    <row r="57" spans="1:34" ht="24" customHeight="1">
      <c r="A57" s="381" t="s">
        <v>310</v>
      </c>
      <c r="B57" s="382"/>
      <c r="C57" s="517"/>
      <c r="D57" s="517"/>
      <c r="E57" s="517"/>
      <c r="F57" s="517"/>
      <c r="G57" s="517"/>
      <c r="H57" s="762" t="s">
        <v>213</v>
      </c>
      <c r="I57" s="763"/>
      <c r="J57" s="763"/>
      <c r="K57" s="764"/>
      <c r="L57" s="384"/>
      <c r="M57" s="385"/>
    </row>
    <row r="58" spans="1:34" ht="24" customHeight="1">
      <c r="A58" s="381"/>
      <c r="B58" s="382"/>
      <c r="C58" s="517"/>
      <c r="D58" s="517"/>
      <c r="E58" s="517"/>
      <c r="F58" s="517"/>
      <c r="G58" s="517"/>
      <c r="H58" s="571"/>
      <c r="I58" s="400" t="s">
        <v>112</v>
      </c>
      <c r="J58" s="472" t="s">
        <v>11</v>
      </c>
      <c r="K58" s="573"/>
      <c r="L58" s="384"/>
      <c r="M58" s="385"/>
    </row>
    <row r="59" spans="1:34" ht="24" customHeight="1">
      <c r="A59" s="507"/>
      <c r="B59" s="508"/>
      <c r="C59" s="509"/>
      <c r="D59" s="509"/>
      <c r="E59" s="509"/>
      <c r="F59" s="509"/>
      <c r="G59" s="509"/>
      <c r="H59" s="511"/>
      <c r="I59" s="587"/>
      <c r="J59" s="587"/>
      <c r="K59" s="588"/>
      <c r="L59" s="510"/>
      <c r="M59" s="376"/>
    </row>
    <row r="60" spans="1:34" ht="24" customHeight="1">
      <c r="A60" s="602" t="s">
        <v>155</v>
      </c>
      <c r="B60" s="490">
        <v>5.45</v>
      </c>
      <c r="C60" s="598">
        <v>0.1</v>
      </c>
      <c r="D60" s="598">
        <v>0.3</v>
      </c>
      <c r="E60" s="598">
        <v>0.5</v>
      </c>
      <c r="F60" s="598">
        <v>0.7</v>
      </c>
      <c r="G60" s="598">
        <v>1</v>
      </c>
      <c r="H60" s="738" t="s">
        <v>364</v>
      </c>
      <c r="I60" s="739"/>
      <c r="J60" s="739"/>
      <c r="K60" s="740"/>
      <c r="L60" s="303">
        <v>5</v>
      </c>
      <c r="M60" s="380">
        <f>IF(L60=0,"-",ROUND(L60*B60/B$71,4))</f>
        <v>0.32579999999999998</v>
      </c>
      <c r="Q60" s="368" t="s">
        <v>164</v>
      </c>
      <c r="R60" s="368" t="s">
        <v>165</v>
      </c>
      <c r="S60" s="368" t="s">
        <v>166</v>
      </c>
      <c r="T60" s="368" t="s">
        <v>180</v>
      </c>
      <c r="U60" s="368" t="s">
        <v>181</v>
      </c>
      <c r="V60" s="368" t="s">
        <v>278</v>
      </c>
      <c r="W60" s="368" t="s">
        <v>183</v>
      </c>
      <c r="X60" s="368" t="s">
        <v>184</v>
      </c>
      <c r="Y60" s="368" t="s">
        <v>185</v>
      </c>
      <c r="Z60" s="368" t="s">
        <v>186</v>
      </c>
      <c r="AA60" s="368" t="s">
        <v>187</v>
      </c>
      <c r="AB60" s="368" t="s">
        <v>188</v>
      </c>
      <c r="AC60" s="368" t="s">
        <v>189</v>
      </c>
      <c r="AD60" s="368" t="s">
        <v>190</v>
      </c>
      <c r="AE60" s="368" t="s">
        <v>191</v>
      </c>
      <c r="AF60" s="368" t="s">
        <v>192</v>
      </c>
      <c r="AG60" s="368" t="s">
        <v>193</v>
      </c>
      <c r="AH60" s="368" t="s">
        <v>20</v>
      </c>
    </row>
    <row r="61" spans="1:34" ht="24" customHeight="1">
      <c r="A61" s="603" t="s">
        <v>197</v>
      </c>
      <c r="B61" s="604"/>
      <c r="C61" s="383"/>
      <c r="D61" s="383"/>
      <c r="E61" s="383"/>
      <c r="F61" s="383"/>
      <c r="G61" s="406"/>
      <c r="H61" s="571" t="s">
        <v>317</v>
      </c>
      <c r="I61" s="501"/>
      <c r="J61" s="581"/>
      <c r="K61" s="582"/>
      <c r="L61" s="518"/>
      <c r="M61" s="385"/>
      <c r="Q61" s="368">
        <v>82</v>
      </c>
      <c r="R61" s="368">
        <v>100</v>
      </c>
      <c r="S61" s="368">
        <v>0</v>
      </c>
      <c r="T61" s="368">
        <v>82</v>
      </c>
      <c r="U61" s="368">
        <v>72</v>
      </c>
      <c r="V61" s="368">
        <v>81</v>
      </c>
      <c r="W61" s="368">
        <v>95</v>
      </c>
      <c r="X61" s="368">
        <v>72</v>
      </c>
      <c r="Y61" s="368">
        <v>80</v>
      </c>
      <c r="Z61" s="368">
        <v>76</v>
      </c>
      <c r="AA61" s="368">
        <v>76</v>
      </c>
      <c r="AB61" s="368">
        <v>86</v>
      </c>
      <c r="AC61" s="368">
        <v>76</v>
      </c>
      <c r="AD61" s="368">
        <v>70</v>
      </c>
      <c r="AE61" s="368">
        <v>100</v>
      </c>
      <c r="AF61" s="368">
        <v>72</v>
      </c>
      <c r="AG61" s="368">
        <v>95</v>
      </c>
      <c r="AH61" s="404">
        <f>(Q61+R61+S61+T61+U61+V61+W61+X61+Y61+Z61+AA61+AB61+AC61+AD61+AE61+AF61+AG61)/17</f>
        <v>77.352941176470594</v>
      </c>
    </row>
    <row r="62" spans="1:34" ht="24" customHeight="1">
      <c r="A62" s="381" t="s">
        <v>310</v>
      </c>
      <c r="B62" s="604"/>
      <c r="C62" s="383"/>
      <c r="D62" s="383"/>
      <c r="E62" s="383"/>
      <c r="F62" s="383"/>
      <c r="G62" s="383"/>
      <c r="H62" s="572" t="s">
        <v>231</v>
      </c>
      <c r="I62" s="501"/>
      <c r="J62" s="581"/>
      <c r="K62" s="582"/>
      <c r="L62" s="518"/>
      <c r="M62" s="385"/>
    </row>
    <row r="63" spans="1:34" ht="24" customHeight="1">
      <c r="A63" s="603"/>
      <c r="B63" s="604"/>
      <c r="C63" s="383"/>
      <c r="D63" s="383"/>
      <c r="E63" s="383"/>
      <c r="F63" s="383"/>
      <c r="G63" s="383"/>
      <c r="H63" s="571"/>
      <c r="I63" s="400" t="s">
        <v>114</v>
      </c>
      <c r="J63" s="545">
        <v>100</v>
      </c>
      <c r="K63" s="573" t="s">
        <v>51</v>
      </c>
      <c r="L63" s="518"/>
      <c r="M63" s="385"/>
      <c r="P63" s="305"/>
    </row>
    <row r="64" spans="1:34" ht="24" customHeight="1">
      <c r="A64" s="605"/>
      <c r="B64" s="606"/>
      <c r="C64" s="509"/>
      <c r="D64" s="509"/>
      <c r="E64" s="509"/>
      <c r="F64" s="509"/>
      <c r="G64" s="509"/>
      <c r="H64" s="512"/>
      <c r="I64" s="587"/>
      <c r="J64" s="587"/>
      <c r="K64" s="588"/>
      <c r="L64" s="607"/>
      <c r="M64" s="376"/>
    </row>
    <row r="65" spans="1:32" ht="24" customHeight="1">
      <c r="A65" s="379" t="s">
        <v>156</v>
      </c>
      <c r="B65" s="490">
        <v>5.45</v>
      </c>
      <c r="C65" s="498">
        <v>0.8</v>
      </c>
      <c r="D65" s="498">
        <v>0.85</v>
      </c>
      <c r="E65" s="498">
        <v>0.9</v>
      </c>
      <c r="F65" s="498">
        <v>0.95</v>
      </c>
      <c r="G65" s="498">
        <v>1</v>
      </c>
      <c r="H65" s="738" t="s">
        <v>304</v>
      </c>
      <c r="I65" s="739"/>
      <c r="J65" s="739"/>
      <c r="K65" s="740"/>
      <c r="L65" s="303">
        <f>ROUND(3+((J69-90)*1/5),4)</f>
        <v>4.7720000000000002</v>
      </c>
      <c r="M65" s="380">
        <f>IF(L65=0,"-",ROUND(L65*B65/B$71,4))</f>
        <v>0.31090000000000001</v>
      </c>
      <c r="R65" s="413"/>
    </row>
    <row r="66" spans="1:32" ht="24" customHeight="1">
      <c r="A66" s="381" t="s">
        <v>116</v>
      </c>
      <c r="B66" s="382"/>
      <c r="C66" s="497"/>
      <c r="D66" s="497"/>
      <c r="E66" s="497"/>
      <c r="F66" s="497"/>
      <c r="G66" s="497"/>
      <c r="H66" s="762" t="s">
        <v>305</v>
      </c>
      <c r="I66" s="763"/>
      <c r="J66" s="763"/>
      <c r="K66" s="764"/>
      <c r="L66" s="384"/>
      <c r="M66" s="385"/>
    </row>
    <row r="67" spans="1:32" ht="24" customHeight="1">
      <c r="A67" s="381" t="s">
        <v>310</v>
      </c>
      <c r="B67" s="382"/>
      <c r="C67" s="383"/>
      <c r="D67" s="383"/>
      <c r="E67" s="383"/>
      <c r="F67" s="383"/>
      <c r="G67" s="383"/>
      <c r="H67" s="762" t="s">
        <v>306</v>
      </c>
      <c r="I67" s="763"/>
      <c r="J67" s="763"/>
      <c r="K67" s="764"/>
      <c r="L67" s="384"/>
      <c r="M67" s="385"/>
      <c r="O67" s="375"/>
      <c r="P67" s="375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5"/>
      <c r="AB67" s="375"/>
      <c r="AC67" s="375"/>
      <c r="AD67" s="375"/>
      <c r="AE67" s="375"/>
      <c r="AF67" s="375"/>
    </row>
    <row r="68" spans="1:32" ht="24" customHeight="1">
      <c r="A68" s="381"/>
      <c r="B68" s="382"/>
      <c r="C68" s="383"/>
      <c r="D68" s="383"/>
      <c r="E68" s="383"/>
      <c r="F68" s="383"/>
      <c r="G68" s="383"/>
      <c r="H68" s="571" t="s">
        <v>307</v>
      </c>
      <c r="I68" s="572"/>
      <c r="J68" s="572"/>
      <c r="K68" s="573"/>
      <c r="L68" s="384"/>
      <c r="M68" s="385"/>
      <c r="O68" s="414"/>
      <c r="P68" s="414"/>
      <c r="Q68" s="414"/>
      <c r="R68" s="414"/>
      <c r="S68" s="414"/>
      <c r="T68" s="414"/>
      <c r="U68" s="414"/>
      <c r="V68" s="414"/>
      <c r="W68" s="414"/>
      <c r="X68" s="414"/>
      <c r="Y68" s="414"/>
      <c r="Z68" s="414"/>
      <c r="AA68" s="414"/>
      <c r="AB68" s="414"/>
      <c r="AC68" s="414"/>
      <c r="AD68" s="414"/>
      <c r="AE68" s="414"/>
      <c r="AF68" s="414"/>
    </row>
    <row r="69" spans="1:32" ht="24" customHeight="1">
      <c r="A69" s="381"/>
      <c r="B69" s="382"/>
      <c r="C69" s="383"/>
      <c r="D69" s="383"/>
      <c r="E69" s="383"/>
      <c r="F69" s="383"/>
      <c r="G69" s="383"/>
      <c r="H69" s="571"/>
      <c r="I69" s="400" t="s">
        <v>114</v>
      </c>
      <c r="J69" s="545">
        <v>98.86</v>
      </c>
      <c r="K69" s="578" t="s">
        <v>51</v>
      </c>
      <c r="L69" s="384"/>
      <c r="M69" s="385"/>
      <c r="O69" s="414"/>
      <c r="P69" s="414"/>
      <c r="Q69" s="414"/>
      <c r="R69" s="414"/>
      <c r="S69" s="414"/>
      <c r="T69" s="414"/>
      <c r="U69" s="414"/>
      <c r="V69" s="414"/>
      <c r="W69" s="414"/>
      <c r="X69" s="414"/>
      <c r="Y69" s="414"/>
      <c r="Z69" s="414"/>
      <c r="AA69" s="414"/>
      <c r="AB69" s="414"/>
      <c r="AC69" s="414"/>
      <c r="AD69" s="414"/>
      <c r="AE69" s="414"/>
      <c r="AF69" s="414"/>
    </row>
    <row r="70" spans="1:32" ht="24" customHeight="1">
      <c r="A70" s="381"/>
      <c r="B70" s="608"/>
      <c r="C70" s="383"/>
      <c r="D70" s="383"/>
      <c r="E70" s="383"/>
      <c r="F70" s="383"/>
      <c r="G70" s="517"/>
      <c r="H70" s="571"/>
      <c r="I70" s="601"/>
      <c r="J70" s="600"/>
      <c r="K70" s="578"/>
      <c r="L70" s="384"/>
      <c r="M70" s="385"/>
      <c r="O70" s="414"/>
      <c r="P70" s="414"/>
      <c r="Q70" s="414"/>
      <c r="R70" s="414"/>
      <c r="S70" s="414"/>
      <c r="T70" s="414"/>
      <c r="U70" s="414"/>
      <c r="V70" s="414"/>
      <c r="W70" s="414"/>
      <c r="X70" s="414"/>
      <c r="Y70" s="414"/>
      <c r="Z70" s="414"/>
      <c r="AA70" s="414"/>
      <c r="AB70" s="414"/>
      <c r="AC70" s="414"/>
      <c r="AD70" s="414"/>
      <c r="AE70" s="414"/>
      <c r="AF70" s="414"/>
    </row>
    <row r="71" spans="1:32" ht="24" customHeight="1">
      <c r="A71" s="415"/>
      <c r="B71" s="416">
        <f>SUM(B6:B70)</f>
        <v>83.640000000000015</v>
      </c>
      <c r="C71" s="417"/>
      <c r="D71" s="417"/>
      <c r="E71" s="417"/>
      <c r="F71" s="417"/>
      <c r="G71" s="418"/>
      <c r="H71" s="417"/>
      <c r="I71" s="417"/>
      <c r="J71" s="417"/>
      <c r="K71" s="417"/>
      <c r="L71" s="419" t="s">
        <v>140</v>
      </c>
      <c r="M71" s="420">
        <f>SUM(M6:M70)</f>
        <v>3.6497000000000002</v>
      </c>
      <c r="O71" s="414"/>
      <c r="P71" s="414"/>
      <c r="Q71" s="414"/>
      <c r="R71" s="414"/>
      <c r="S71" s="414"/>
      <c r="T71" s="414"/>
      <c r="U71" s="414"/>
      <c r="V71" s="414"/>
      <c r="W71" s="414"/>
      <c r="X71" s="414"/>
      <c r="Y71" s="414"/>
      <c r="Z71" s="414"/>
      <c r="AA71" s="414"/>
      <c r="AB71" s="414"/>
      <c r="AC71" s="414"/>
      <c r="AD71" s="414"/>
      <c r="AE71" s="414"/>
      <c r="AF71" s="414"/>
    </row>
    <row r="72" spans="1:32" ht="24" customHeight="1">
      <c r="O72" s="414"/>
      <c r="P72" s="414"/>
      <c r="Q72" s="414"/>
      <c r="R72" s="414"/>
      <c r="S72" s="414"/>
      <c r="T72" s="414"/>
      <c r="U72" s="414"/>
      <c r="V72" s="422"/>
      <c r="W72" s="414"/>
      <c r="X72" s="414"/>
      <c r="Y72" s="414"/>
      <c r="Z72" s="414"/>
      <c r="AA72" s="414"/>
      <c r="AB72" s="414"/>
      <c r="AC72" s="414"/>
      <c r="AD72" s="414"/>
      <c r="AE72" s="414"/>
      <c r="AF72" s="414"/>
    </row>
    <row r="73" spans="1:32" ht="24" customHeight="1">
      <c r="A73" s="423"/>
    </row>
    <row r="74" spans="1:32" ht="24" customHeight="1"/>
    <row r="75" spans="1:32" ht="24" customHeight="1"/>
    <row r="76" spans="1:32" ht="24" customHeight="1"/>
    <row r="77" spans="1:32" ht="24" customHeight="1"/>
    <row r="78" spans="1:32" ht="24" customHeight="1"/>
    <row r="79" spans="1:32" ht="24" customHeight="1"/>
    <row r="80" spans="1:32" ht="24" customHeight="1"/>
  </sheetData>
  <mergeCells count="41">
    <mergeCell ref="H57:K57"/>
    <mergeCell ref="H60:K60"/>
    <mergeCell ref="H65:K65"/>
    <mergeCell ref="H66:K66"/>
    <mergeCell ref="H67:K67"/>
    <mergeCell ref="AI26:AJ26"/>
    <mergeCell ref="H27:K27"/>
    <mergeCell ref="H28:K28"/>
    <mergeCell ref="H29:K29"/>
    <mergeCell ref="H56:K56"/>
    <mergeCell ref="H34:K34"/>
    <mergeCell ref="H35:K35"/>
    <mergeCell ref="H37:K37"/>
    <mergeCell ref="H38:K38"/>
    <mergeCell ref="H39:K39"/>
    <mergeCell ref="H44:K44"/>
    <mergeCell ref="H45:K45"/>
    <mergeCell ref="H46:K46"/>
    <mergeCell ref="H51:K51"/>
    <mergeCell ref="H52:K52"/>
    <mergeCell ref="H55:K55"/>
    <mergeCell ref="H33:K33"/>
    <mergeCell ref="H14:K14"/>
    <mergeCell ref="H17:K17"/>
    <mergeCell ref="H18:K18"/>
    <mergeCell ref="H19:K19"/>
    <mergeCell ref="H22:K22"/>
    <mergeCell ref="H23:K23"/>
    <mergeCell ref="H24:K24"/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1:K11"/>
    <mergeCell ref="H12:K12"/>
  </mergeCells>
  <printOptions horizontalCentered="1"/>
  <pageMargins left="0.196850393700787" right="0.196850393700787" top="0.55118110236220497" bottom="0.27559055118110198" header="0.196850393700787" footer="0.47244094488188998"/>
  <pageSetup paperSize="9" scale="65" orientation="landscape" r:id="rId1"/>
  <headerFooter scaleWithDoc="0">
    <oddHeader>&amp;R&amp;"TH SarabunPSK,Regular"&amp;16&amp;P</oddHeader>
  </headerFooter>
  <rowBreaks count="2" manualBreakCount="2">
    <brk id="26" max="12" man="1"/>
    <brk id="50" max="12" man="1"/>
  </rowBreaks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N80"/>
  <sheetViews>
    <sheetView view="pageBreakPreview" topLeftCell="A4" zoomScaleNormal="90" zoomScaleSheetLayoutView="100" zoomScalePageLayoutView="50" workbookViewId="0">
      <selection activeCell="H61" sqref="H61"/>
    </sheetView>
  </sheetViews>
  <sheetFormatPr defaultColWidth="9.140625" defaultRowHeight="21"/>
  <cols>
    <col min="1" max="1" width="38" style="368" customWidth="1"/>
    <col min="2" max="2" width="11.5703125" style="368" customWidth="1"/>
    <col min="3" max="3" width="9.85546875" style="368" customWidth="1"/>
    <col min="4" max="7" width="9.28515625" style="368" customWidth="1"/>
    <col min="8" max="8" width="9.85546875" style="368" customWidth="1"/>
    <col min="9" max="9" width="16.140625" style="368" customWidth="1"/>
    <col min="10" max="10" width="16.5703125" style="368" customWidth="1"/>
    <col min="11" max="11" width="34.28515625" style="368" customWidth="1"/>
    <col min="12" max="12" width="11.140625" style="421" customWidth="1"/>
    <col min="13" max="13" width="11.140625" style="368" customWidth="1"/>
    <col min="14" max="16" width="9.140625" style="368"/>
    <col min="17" max="17" width="12.42578125" style="368" bestFit="1" customWidth="1"/>
    <col min="18" max="20" width="11.5703125" style="368" bestFit="1" customWidth="1"/>
    <col min="21" max="21" width="9.140625" style="368"/>
    <col min="22" max="30" width="11.5703125" style="368" bestFit="1" customWidth="1"/>
    <col min="31" max="31" width="17.7109375" style="368" customWidth="1"/>
    <col min="32" max="32" width="9.28515625" style="368" bestFit="1" customWidth="1"/>
    <col min="33" max="33" width="11.28515625" style="368" bestFit="1" customWidth="1"/>
    <col min="34" max="35" width="9.140625" style="368"/>
    <col min="36" max="36" width="86.140625" style="368" bestFit="1" customWidth="1"/>
    <col min="37" max="37" width="19.28515625" style="368" bestFit="1" customWidth="1"/>
    <col min="38" max="38" width="15" style="368" bestFit="1" customWidth="1"/>
    <col min="39" max="39" width="10.42578125" style="368" bestFit="1" customWidth="1"/>
    <col min="40" max="16384" width="9.140625" style="368"/>
  </cols>
  <sheetData>
    <row r="1" spans="1:40" ht="24" customHeight="1">
      <c r="A1" s="752" t="s">
        <v>0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2" spans="1:40" ht="24" customHeight="1">
      <c r="A2" s="752" t="s">
        <v>351</v>
      </c>
      <c r="B2" s="753"/>
      <c r="C2" s="753"/>
      <c r="D2" s="753"/>
      <c r="E2" s="753"/>
      <c r="F2" s="753"/>
      <c r="G2" s="753"/>
      <c r="H2" s="753"/>
      <c r="I2" s="753"/>
      <c r="J2" s="753"/>
      <c r="K2" s="753"/>
      <c r="L2" s="753"/>
      <c r="M2" s="753"/>
    </row>
    <row r="3" spans="1:40" ht="24" customHeight="1">
      <c r="A3" s="369" t="s">
        <v>373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72" t="s">
        <v>237</v>
      </c>
    </row>
    <row r="4" spans="1:40" s="375" customFormat="1" ht="24" customHeight="1">
      <c r="A4" s="373" t="s">
        <v>1</v>
      </c>
      <c r="B4" s="373" t="s">
        <v>2</v>
      </c>
      <c r="C4" s="754" t="s">
        <v>3</v>
      </c>
      <c r="D4" s="754"/>
      <c r="E4" s="754"/>
      <c r="F4" s="754"/>
      <c r="G4" s="754"/>
      <c r="H4" s="755" t="s">
        <v>4</v>
      </c>
      <c r="I4" s="756"/>
      <c r="J4" s="756"/>
      <c r="K4" s="757"/>
      <c r="L4" s="761" t="s">
        <v>5</v>
      </c>
      <c r="M4" s="374" t="s">
        <v>6</v>
      </c>
    </row>
    <row r="5" spans="1:40" s="375" customFormat="1" ht="24" customHeight="1">
      <c r="A5" s="376" t="s">
        <v>7</v>
      </c>
      <c r="B5" s="376" t="s">
        <v>8</v>
      </c>
      <c r="C5" s="377">
        <v>1</v>
      </c>
      <c r="D5" s="377">
        <v>2</v>
      </c>
      <c r="E5" s="377">
        <v>3</v>
      </c>
      <c r="F5" s="377">
        <v>4</v>
      </c>
      <c r="G5" s="377">
        <v>5</v>
      </c>
      <c r="H5" s="758"/>
      <c r="I5" s="759"/>
      <c r="J5" s="759"/>
      <c r="K5" s="760"/>
      <c r="L5" s="761"/>
      <c r="M5" s="378" t="s">
        <v>9</v>
      </c>
    </row>
    <row r="6" spans="1:40" ht="24" customHeight="1">
      <c r="A6" s="379" t="s">
        <v>159</v>
      </c>
      <c r="B6" s="302">
        <v>5.45</v>
      </c>
      <c r="C6" s="506">
        <v>0.65</v>
      </c>
      <c r="D6" s="506">
        <v>0.7</v>
      </c>
      <c r="E6" s="506">
        <v>0.75</v>
      </c>
      <c r="F6" s="506">
        <v>0.8</v>
      </c>
      <c r="G6" s="506">
        <v>0.85</v>
      </c>
      <c r="H6" s="738" t="s">
        <v>203</v>
      </c>
      <c r="I6" s="739"/>
      <c r="J6" s="739"/>
      <c r="K6" s="740"/>
      <c r="L6" s="303">
        <v>4.8520000000000003</v>
      </c>
      <c r="M6" s="380">
        <f>IF(L6=0,"-",ROUND(L6*B6/B$71,4))</f>
        <v>0.31619999999999998</v>
      </c>
    </row>
    <row r="7" spans="1:40" ht="24" customHeight="1">
      <c r="A7" s="381" t="s">
        <v>144</v>
      </c>
      <c r="B7" s="382"/>
      <c r="C7" s="383"/>
      <c r="D7" s="383"/>
      <c r="E7" s="383"/>
      <c r="F7" s="383"/>
      <c r="G7" s="383"/>
      <c r="H7" s="762" t="s">
        <v>365</v>
      </c>
      <c r="I7" s="763"/>
      <c r="J7" s="763"/>
      <c r="K7" s="764"/>
      <c r="L7" s="384"/>
      <c r="M7" s="385"/>
      <c r="N7" s="375" t="s">
        <v>238</v>
      </c>
      <c r="O7" s="386" t="s">
        <v>164</v>
      </c>
      <c r="P7" s="375" t="s">
        <v>165</v>
      </c>
      <c r="Q7" s="375" t="s">
        <v>166</v>
      </c>
      <c r="R7" s="386" t="s">
        <v>167</v>
      </c>
      <c r="S7" s="386" t="s">
        <v>168</v>
      </c>
      <c r="T7" s="386" t="s">
        <v>169</v>
      </c>
      <c r="U7" s="386" t="s">
        <v>170</v>
      </c>
      <c r="V7" s="386" t="s">
        <v>171</v>
      </c>
      <c r="W7" s="375" t="s">
        <v>172</v>
      </c>
      <c r="X7" s="386" t="s">
        <v>173</v>
      </c>
      <c r="Y7" s="386" t="s">
        <v>174</v>
      </c>
      <c r="Z7" s="375" t="s">
        <v>175</v>
      </c>
      <c r="AA7" s="386" t="s">
        <v>176</v>
      </c>
      <c r="AB7" s="386" t="s">
        <v>178</v>
      </c>
      <c r="AC7" s="375" t="s">
        <v>192</v>
      </c>
      <c r="AD7" s="375" t="s">
        <v>239</v>
      </c>
      <c r="AE7" s="375" t="s">
        <v>240</v>
      </c>
    </row>
    <row r="8" spans="1:40" ht="24" customHeight="1">
      <c r="A8" s="381"/>
      <c r="B8" s="382"/>
      <c r="C8" s="383"/>
      <c r="D8" s="383"/>
      <c r="E8" s="383"/>
      <c r="F8" s="383"/>
      <c r="G8" s="383"/>
      <c r="H8" s="762" t="s">
        <v>204</v>
      </c>
      <c r="I8" s="763"/>
      <c r="J8" s="763"/>
      <c r="K8" s="764"/>
      <c r="L8" s="384"/>
      <c r="M8" s="385"/>
      <c r="AI8" s="447" t="s">
        <v>241</v>
      </c>
      <c r="AJ8" s="388" t="s">
        <v>14</v>
      </c>
      <c r="AK8" s="389" t="s">
        <v>242</v>
      </c>
      <c r="AL8" s="390" t="s">
        <v>243</v>
      </c>
      <c r="AM8" s="391"/>
      <c r="AN8" s="391" t="s">
        <v>244</v>
      </c>
    </row>
    <row r="9" spans="1:40" ht="24" customHeight="1">
      <c r="A9" s="381"/>
      <c r="B9" s="382"/>
      <c r="C9" s="383"/>
      <c r="D9" s="383"/>
      <c r="E9" s="383"/>
      <c r="F9" s="383"/>
      <c r="G9" s="383"/>
      <c r="H9" s="762" t="s">
        <v>205</v>
      </c>
      <c r="I9" s="763"/>
      <c r="J9" s="763"/>
      <c r="K9" s="764"/>
      <c r="L9" s="384"/>
      <c r="M9" s="385"/>
      <c r="N9" s="392">
        <f>SUM(O9:AB9)</f>
        <v>2754.9592476500002</v>
      </c>
      <c r="O9" s="393">
        <v>63.05</v>
      </c>
      <c r="P9" s="393">
        <v>363.36509999999998</v>
      </c>
      <c r="Q9" s="393">
        <v>157.61449099999999</v>
      </c>
      <c r="R9" s="393">
        <v>122.296868</v>
      </c>
      <c r="S9" s="393"/>
      <c r="T9" s="393">
        <v>687.09411299999999</v>
      </c>
      <c r="U9" s="394">
        <v>432.493359</v>
      </c>
      <c r="V9" s="393"/>
      <c r="W9" s="393">
        <v>567.82270000000005</v>
      </c>
      <c r="X9" s="393">
        <v>128.228759</v>
      </c>
      <c r="Y9" s="393">
        <v>39.988</v>
      </c>
      <c r="AA9" s="326">
        <v>103.4341</v>
      </c>
      <c r="AB9" s="393">
        <v>89.571757649999995</v>
      </c>
      <c r="AC9" s="368">
        <f>SUM(O9:AB9)</f>
        <v>2754.9592476500002</v>
      </c>
      <c r="AE9" s="368">
        <f>AC9</f>
        <v>2754.9592476500002</v>
      </c>
      <c r="AI9" s="395">
        <v>1</v>
      </c>
      <c r="AJ9" s="396" t="s">
        <v>245</v>
      </c>
      <c r="AK9" s="397">
        <v>172677500</v>
      </c>
      <c r="AL9" s="398">
        <v>13.36</v>
      </c>
      <c r="AM9" s="399" t="e">
        <f t="shared" ref="AM9:AM25" si="0">AL9*AK9/$C$13</f>
        <v>#DIV/0!</v>
      </c>
      <c r="AN9" s="399">
        <f>AL9*AK9/AK9</f>
        <v>13.36</v>
      </c>
    </row>
    <row r="10" spans="1:40" ht="24" customHeight="1">
      <c r="A10" s="381"/>
      <c r="B10" s="382"/>
      <c r="C10" s="383"/>
      <c r="D10" s="383"/>
      <c r="E10" s="383"/>
      <c r="F10" s="383"/>
      <c r="G10" s="383"/>
      <c r="I10" s="400" t="s">
        <v>54</v>
      </c>
      <c r="J10" s="472">
        <v>84.26</v>
      </c>
      <c r="K10" s="573" t="s">
        <v>51</v>
      </c>
      <c r="L10" s="384"/>
      <c r="M10" s="385"/>
      <c r="N10" s="368">
        <f>(O10*O9+P10*P9+Q10*Q9+R10*R9+S10*S9+T10*T9+U10*U9+V10*V9+W10*W9+X10*X9+Y10*Y9+Z10*Z9+AA10*AA9+AB10*AB9)/N9</f>
        <v>84.754654906071266</v>
      </c>
      <c r="O10" s="393">
        <v>100</v>
      </c>
      <c r="P10" s="393">
        <v>63.46</v>
      </c>
      <c r="Q10" s="393">
        <v>51.39</v>
      </c>
      <c r="R10" s="393">
        <v>100</v>
      </c>
      <c r="S10" s="393"/>
      <c r="T10" s="393">
        <v>100</v>
      </c>
      <c r="U10" s="393">
        <v>98.85</v>
      </c>
      <c r="V10" s="393"/>
      <c r="W10" s="401">
        <v>77.599999999999994</v>
      </c>
      <c r="X10" s="393">
        <v>66.87</v>
      </c>
      <c r="Y10" s="393">
        <v>100</v>
      </c>
      <c r="AA10" s="393">
        <v>71.75</v>
      </c>
      <c r="AB10" s="393">
        <v>92.47</v>
      </c>
      <c r="AC10" s="402">
        <f>J10</f>
        <v>84.26</v>
      </c>
      <c r="AE10" s="402">
        <f>J10</f>
        <v>84.26</v>
      </c>
      <c r="AI10" s="395">
        <v>2</v>
      </c>
      <c r="AJ10" s="396" t="s">
        <v>246</v>
      </c>
      <c r="AK10" s="397">
        <v>525283600</v>
      </c>
      <c r="AL10" s="398">
        <v>35.229999999999997</v>
      </c>
      <c r="AM10" s="399" t="e">
        <f t="shared" si="0"/>
        <v>#DIV/0!</v>
      </c>
      <c r="AN10" s="399">
        <f t="shared" ref="AN10:AN23" si="1">(AL10*AK10/AK10)</f>
        <v>35.229999999999997</v>
      </c>
    </row>
    <row r="11" spans="1:40" ht="24" customHeight="1">
      <c r="A11" s="507"/>
      <c r="B11" s="508"/>
      <c r="C11" s="509"/>
      <c r="D11" s="509"/>
      <c r="E11" s="509"/>
      <c r="F11" s="509"/>
      <c r="G11" s="509"/>
      <c r="H11" s="768"/>
      <c r="I11" s="769"/>
      <c r="J11" s="769"/>
      <c r="K11" s="770"/>
      <c r="L11" s="510"/>
      <c r="M11" s="376"/>
      <c r="AE11" s="368" t="s">
        <v>20</v>
      </c>
      <c r="AI11" s="395"/>
      <c r="AJ11" s="396" t="s">
        <v>247</v>
      </c>
      <c r="AK11" s="397">
        <v>63771100</v>
      </c>
      <c r="AL11" s="398">
        <v>0.28000000000000003</v>
      </c>
      <c r="AM11" s="399" t="e">
        <f t="shared" si="0"/>
        <v>#DIV/0!</v>
      </c>
      <c r="AN11" s="399"/>
    </row>
    <row r="12" spans="1:40" ht="24" customHeight="1">
      <c r="A12" s="379" t="s">
        <v>145</v>
      </c>
      <c r="B12" s="302">
        <v>16.36</v>
      </c>
      <c r="C12" s="506">
        <v>0.69</v>
      </c>
      <c r="D12" s="506">
        <v>0.72</v>
      </c>
      <c r="E12" s="506">
        <v>0.75</v>
      </c>
      <c r="F12" s="506">
        <v>0.78</v>
      </c>
      <c r="G12" s="506">
        <v>0.81</v>
      </c>
      <c r="H12" s="739" t="s">
        <v>206</v>
      </c>
      <c r="I12" s="739"/>
      <c r="J12" s="739"/>
      <c r="K12" s="740"/>
      <c r="L12" s="303">
        <v>5</v>
      </c>
      <c r="M12" s="380">
        <f>IF(L12=0,"-",ROUND(L12*B12/B$71,4))</f>
        <v>0.97799999999999998</v>
      </c>
      <c r="P12" s="368" t="s">
        <v>177</v>
      </c>
      <c r="Q12" s="368">
        <v>88227925</v>
      </c>
      <c r="R12" s="368">
        <v>454314777</v>
      </c>
      <c r="S12" s="368">
        <v>163703662</v>
      </c>
      <c r="T12" s="368">
        <v>340069114</v>
      </c>
      <c r="V12" s="368">
        <v>145609485</v>
      </c>
      <c r="W12" s="368">
        <v>376474997</v>
      </c>
      <c r="X12" s="368">
        <v>154664423</v>
      </c>
      <c r="Y12" s="368">
        <v>364453100</v>
      </c>
      <c r="Z12" s="368">
        <v>301496841</v>
      </c>
      <c r="AA12" s="368">
        <v>117859601</v>
      </c>
      <c r="AB12" s="368">
        <v>103922683</v>
      </c>
      <c r="AC12" s="368">
        <v>110709100</v>
      </c>
      <c r="AD12" s="368">
        <v>396724840</v>
      </c>
      <c r="AE12" s="368">
        <f>Q12+R12+S12+T12+V12+W12+X12+Y12+Z12+AA12+AB12+AC12+AD12</f>
        <v>3118230548</v>
      </c>
      <c r="AI12" s="395"/>
      <c r="AJ12" s="396" t="s">
        <v>248</v>
      </c>
      <c r="AK12" s="397">
        <v>85121200</v>
      </c>
      <c r="AL12" s="398">
        <v>2.0499999999999998</v>
      </c>
      <c r="AM12" s="399" t="e">
        <f t="shared" si="0"/>
        <v>#DIV/0!</v>
      </c>
      <c r="AN12" s="399"/>
    </row>
    <row r="13" spans="1:40" ht="24" customHeight="1">
      <c r="A13" s="381" t="s">
        <v>21</v>
      </c>
      <c r="B13" s="382"/>
      <c r="C13" s="383"/>
      <c r="D13" s="383"/>
      <c r="E13" s="383"/>
      <c r="F13" s="383"/>
      <c r="G13" s="383"/>
      <c r="H13" s="762" t="s">
        <v>207</v>
      </c>
      <c r="I13" s="763"/>
      <c r="J13" s="763"/>
      <c r="K13" s="764"/>
      <c r="L13" s="384"/>
      <c r="M13" s="385"/>
      <c r="P13" s="368" t="s">
        <v>179</v>
      </c>
      <c r="Q13" s="368">
        <v>62767727</v>
      </c>
      <c r="R13" s="368">
        <v>213672936</v>
      </c>
      <c r="S13" s="368">
        <v>25795924</v>
      </c>
      <c r="T13" s="368">
        <v>114556854</v>
      </c>
      <c r="V13" s="368">
        <v>128932639</v>
      </c>
      <c r="W13" s="368">
        <v>336587666</v>
      </c>
      <c r="X13" s="368">
        <v>52373847</v>
      </c>
      <c r="Y13" s="368">
        <v>90762837</v>
      </c>
      <c r="Z13" s="368">
        <v>241819557</v>
      </c>
      <c r="AA13" s="368">
        <v>53872593</v>
      </c>
      <c r="AB13" s="368">
        <v>20156387</v>
      </c>
      <c r="AC13" s="368">
        <v>73919342</v>
      </c>
      <c r="AD13" s="368">
        <v>64957443</v>
      </c>
      <c r="AE13" s="403">
        <f>Q13+R13+S13+T13+V13+W13+X13+Y13+Z13+AA13+AB13+AC13+AD13</f>
        <v>1480175752</v>
      </c>
      <c r="AI13" s="395"/>
      <c r="AJ13" s="396" t="s">
        <v>249</v>
      </c>
      <c r="AK13" s="397">
        <v>115875000</v>
      </c>
      <c r="AL13" s="398">
        <v>0</v>
      </c>
      <c r="AM13" s="399" t="e">
        <f t="shared" si="0"/>
        <v>#DIV/0!</v>
      </c>
      <c r="AN13" s="399"/>
    </row>
    <row r="14" spans="1:40" ht="24" customHeight="1">
      <c r="A14" s="381"/>
      <c r="B14" s="382"/>
      <c r="C14" s="383"/>
      <c r="D14" s="383"/>
      <c r="E14" s="383"/>
      <c r="F14" s="383"/>
      <c r="G14" s="383"/>
      <c r="H14" s="762" t="s">
        <v>299</v>
      </c>
      <c r="I14" s="763"/>
      <c r="J14" s="763"/>
      <c r="K14" s="764"/>
      <c r="L14" s="384"/>
      <c r="M14" s="385"/>
      <c r="P14" s="368" t="s">
        <v>194</v>
      </c>
      <c r="Q14" s="368">
        <v>19.71</v>
      </c>
      <c r="R14" s="368">
        <v>38.619999999999997</v>
      </c>
      <c r="S14" s="368">
        <v>5.8</v>
      </c>
      <c r="T14" s="368">
        <v>21.95</v>
      </c>
      <c r="AE14" s="404">
        <f>(AE13/AE12)*100</f>
        <v>47.468451393030229</v>
      </c>
      <c r="AI14" s="395">
        <v>4</v>
      </c>
      <c r="AJ14" s="396" t="s">
        <v>250</v>
      </c>
      <c r="AK14" s="397">
        <v>1039701600</v>
      </c>
      <c r="AL14" s="398">
        <v>5.62</v>
      </c>
      <c r="AM14" s="399" t="e">
        <f t="shared" si="0"/>
        <v>#DIV/0!</v>
      </c>
      <c r="AN14" s="399">
        <f t="shared" si="1"/>
        <v>5.62</v>
      </c>
    </row>
    <row r="15" spans="1:40" ht="24" customHeight="1">
      <c r="A15" s="381"/>
      <c r="B15" s="382"/>
      <c r="C15" s="383"/>
      <c r="D15" s="383"/>
      <c r="E15" s="383"/>
      <c r="F15" s="383"/>
      <c r="G15" s="383"/>
      <c r="H15" s="577"/>
      <c r="I15" s="400" t="s">
        <v>199</v>
      </c>
      <c r="J15" s="472">
        <v>95.66</v>
      </c>
      <c r="K15" s="573" t="s">
        <v>51</v>
      </c>
      <c r="L15" s="384"/>
      <c r="M15" s="385"/>
      <c r="Q15" s="368">
        <f>(Q12*Q14)/AE12</f>
        <v>0.55767922704283635</v>
      </c>
      <c r="R15" s="368">
        <f>(R12*R14)/AE12</f>
        <v>5.6267926369310901</v>
      </c>
      <c r="S15" s="368">
        <f>(S12*S14)/AE12</f>
        <v>0.3044935982071586</v>
      </c>
      <c r="T15" s="368">
        <f>(T12*T14)/AE12</f>
        <v>2.3938310325026038</v>
      </c>
      <c r="V15" s="368">
        <f>(V12*V14)/AE12</f>
        <v>0</v>
      </c>
      <c r="W15" s="368">
        <f>(W12*W14)/AE12</f>
        <v>0</v>
      </c>
      <c r="X15" s="368">
        <f>(X12*X14)/AE12</f>
        <v>0</v>
      </c>
      <c r="Y15" s="368">
        <f>(Y12*Y14)/AE12</f>
        <v>0</v>
      </c>
      <c r="Z15" s="368">
        <f>(Z12*Z14)/AE12</f>
        <v>0</v>
      </c>
      <c r="AA15" s="368">
        <f>(AA12*AA14)/AE12</f>
        <v>0</v>
      </c>
      <c r="AB15" s="368">
        <f>(AB12*AB14)/AE12</f>
        <v>0</v>
      </c>
      <c r="AC15" s="368">
        <f>(AC12*AC14)/AE12</f>
        <v>0</v>
      </c>
      <c r="AD15" s="368">
        <f>(AD12*AD14)/AE12</f>
        <v>0</v>
      </c>
      <c r="AE15" s="368">
        <f>(Q15+R15+S15+T15+V15+W15+X15+Y15+Z15+AA15+AB15+AC15+AD15)/AE12</f>
        <v>2.8486657281903096E-9</v>
      </c>
      <c r="AI15" s="395">
        <v>5</v>
      </c>
      <c r="AJ15" s="396" t="s">
        <v>251</v>
      </c>
      <c r="AK15" s="397">
        <v>636679600</v>
      </c>
      <c r="AL15" s="398">
        <v>13.07</v>
      </c>
      <c r="AM15" s="399" t="e">
        <f t="shared" si="0"/>
        <v>#DIV/0!</v>
      </c>
      <c r="AN15" s="399">
        <f t="shared" si="1"/>
        <v>13.07</v>
      </c>
    </row>
    <row r="16" spans="1:40" ht="24" customHeight="1">
      <c r="A16" s="507"/>
      <c r="B16" s="508"/>
      <c r="C16" s="509"/>
      <c r="D16" s="509"/>
      <c r="E16" s="509"/>
      <c r="F16" s="509"/>
      <c r="G16" s="509"/>
      <c r="H16" s="511"/>
      <c r="I16" s="512"/>
      <c r="J16" s="513"/>
      <c r="K16" s="514"/>
      <c r="L16" s="510"/>
      <c r="M16" s="376"/>
      <c r="S16" s="368">
        <v>278676</v>
      </c>
      <c r="AI16" s="395">
        <v>8</v>
      </c>
      <c r="AJ16" s="396" t="s">
        <v>252</v>
      </c>
      <c r="AK16" s="397">
        <v>168866326</v>
      </c>
      <c r="AL16" s="398">
        <v>25.53</v>
      </c>
      <c r="AM16" s="399" t="e">
        <f t="shared" si="0"/>
        <v>#DIV/0!</v>
      </c>
      <c r="AN16" s="399">
        <f t="shared" si="1"/>
        <v>25.529999999999998</v>
      </c>
    </row>
    <row r="17" spans="1:40" ht="24" customHeight="1">
      <c r="A17" s="379" t="s">
        <v>146</v>
      </c>
      <c r="B17" s="302">
        <v>5.45</v>
      </c>
      <c r="C17" s="405">
        <v>0.92</v>
      </c>
      <c r="D17" s="405">
        <v>0.94</v>
      </c>
      <c r="E17" s="405">
        <v>0.96</v>
      </c>
      <c r="F17" s="405">
        <v>0.98</v>
      </c>
      <c r="G17" s="405">
        <v>1</v>
      </c>
      <c r="H17" s="738" t="s">
        <v>312</v>
      </c>
      <c r="I17" s="739"/>
      <c r="J17" s="739"/>
      <c r="K17" s="740"/>
      <c r="L17" s="303">
        <v>4.9800000000000004</v>
      </c>
      <c r="M17" s="380">
        <f>IF(L17=0,"-",ROUND(L17*B17/B$71,4))</f>
        <v>0.32450000000000001</v>
      </c>
      <c r="S17" s="368">
        <v>6516821</v>
      </c>
      <c r="AI17" s="395">
        <v>9</v>
      </c>
      <c r="AJ17" s="396" t="s">
        <v>253</v>
      </c>
      <c r="AK17" s="397">
        <v>189999700</v>
      </c>
      <c r="AL17" s="398">
        <v>3.53</v>
      </c>
      <c r="AM17" s="399" t="e">
        <f t="shared" si="0"/>
        <v>#DIV/0!</v>
      </c>
      <c r="AN17" s="399">
        <f>(AL17*AK17/(AK17+AK18+AK19))+(AL18*AK18/(AK17+AK18+AK19))+(AL19*AK19/(AK17+AK18+AK19))</f>
        <v>17.929695702793666</v>
      </c>
    </row>
    <row r="18" spans="1:40" ht="24" customHeight="1">
      <c r="A18" s="381" t="s">
        <v>23</v>
      </c>
      <c r="B18" s="382"/>
      <c r="C18" s="383"/>
      <c r="D18" s="383"/>
      <c r="E18" s="383"/>
      <c r="F18" s="383"/>
      <c r="G18" s="383"/>
      <c r="H18" s="762" t="s">
        <v>313</v>
      </c>
      <c r="I18" s="763"/>
      <c r="J18" s="763"/>
      <c r="K18" s="764"/>
      <c r="L18" s="384"/>
      <c r="M18" s="385"/>
      <c r="S18" s="368">
        <v>59800</v>
      </c>
      <c r="AI18" s="395"/>
      <c r="AJ18" s="396" t="s">
        <v>254</v>
      </c>
      <c r="AK18" s="397">
        <v>93741300</v>
      </c>
      <c r="AL18" s="398">
        <v>63.29</v>
      </c>
      <c r="AM18" s="399" t="e">
        <f t="shared" si="0"/>
        <v>#DIV/0!</v>
      </c>
      <c r="AN18" s="399"/>
    </row>
    <row r="19" spans="1:40" ht="24" customHeight="1">
      <c r="A19" s="381" t="s">
        <v>24</v>
      </c>
      <c r="B19" s="382"/>
      <c r="C19" s="383"/>
      <c r="D19" s="383"/>
      <c r="E19" s="383"/>
      <c r="F19" s="383"/>
      <c r="G19" s="383"/>
      <c r="H19" s="762" t="s">
        <v>272</v>
      </c>
      <c r="I19" s="763"/>
      <c r="J19" s="763"/>
      <c r="K19" s="764"/>
      <c r="L19" s="384"/>
      <c r="M19" s="385"/>
      <c r="S19" s="368">
        <v>709266</v>
      </c>
      <c r="AI19" s="395"/>
      <c r="AJ19" s="396" t="s">
        <v>255</v>
      </c>
      <c r="AK19" s="397">
        <v>84563400</v>
      </c>
      <c r="AL19" s="398">
        <v>0</v>
      </c>
      <c r="AM19" s="399" t="e">
        <f t="shared" si="0"/>
        <v>#DIV/0!</v>
      </c>
      <c r="AN19" s="399"/>
    </row>
    <row r="20" spans="1:40" ht="24" customHeight="1">
      <c r="A20" s="381"/>
      <c r="B20" s="382"/>
      <c r="C20" s="383"/>
      <c r="D20" s="383"/>
      <c r="E20" s="383"/>
      <c r="F20" s="383"/>
      <c r="G20" s="383"/>
      <c r="H20" s="577" t="s">
        <v>200</v>
      </c>
      <c r="I20" s="400" t="s">
        <v>56</v>
      </c>
      <c r="J20" s="472">
        <v>99.96</v>
      </c>
      <c r="K20" s="573" t="s">
        <v>51</v>
      </c>
      <c r="L20" s="384"/>
      <c r="M20" s="385"/>
      <c r="S20" s="368">
        <v>10951834</v>
      </c>
      <c r="W20" s="368">
        <v>304044</v>
      </c>
      <c r="X20" s="368">
        <v>12443540</v>
      </c>
      <c r="Z20" s="368">
        <v>12690293</v>
      </c>
      <c r="AD20" s="368">
        <v>16191016</v>
      </c>
      <c r="AI20" s="395">
        <v>10</v>
      </c>
      <c r="AJ20" s="396" t="s">
        <v>256</v>
      </c>
      <c r="AK20" s="397">
        <v>305794900</v>
      </c>
      <c r="AL20" s="398">
        <v>18.23</v>
      </c>
      <c r="AM20" s="399" t="e">
        <f t="shared" si="0"/>
        <v>#DIV/0!</v>
      </c>
      <c r="AN20" s="399">
        <f>(AL20*AK20/AK20)</f>
        <v>18.23</v>
      </c>
    </row>
    <row r="21" spans="1:40" ht="24" customHeight="1">
      <c r="A21" s="381"/>
      <c r="B21" s="382"/>
      <c r="C21" s="383"/>
      <c r="D21" s="383"/>
      <c r="E21" s="383"/>
      <c r="F21" s="383"/>
      <c r="G21" s="383"/>
      <c r="H21" s="424"/>
      <c r="I21" s="425"/>
      <c r="J21" s="425"/>
      <c r="K21" s="426"/>
      <c r="L21" s="384"/>
      <c r="M21" s="385"/>
      <c r="AI21" s="395"/>
      <c r="AJ21" s="396" t="s">
        <v>257</v>
      </c>
      <c r="AK21" s="397">
        <v>391412000</v>
      </c>
      <c r="AL21" s="398">
        <v>0</v>
      </c>
      <c r="AM21" s="399" t="e">
        <f t="shared" si="0"/>
        <v>#DIV/0!</v>
      </c>
      <c r="AN21" s="399"/>
    </row>
    <row r="22" spans="1:40" ht="24" customHeight="1">
      <c r="A22" s="379" t="s">
        <v>147</v>
      </c>
      <c r="B22" s="302">
        <v>5.45</v>
      </c>
      <c r="C22" s="405">
        <v>0.96</v>
      </c>
      <c r="D22" s="405">
        <v>0.97</v>
      </c>
      <c r="E22" s="405">
        <v>0.98</v>
      </c>
      <c r="F22" s="405">
        <v>0.99</v>
      </c>
      <c r="G22" s="405">
        <v>1</v>
      </c>
      <c r="H22" s="738" t="s">
        <v>300</v>
      </c>
      <c r="I22" s="739"/>
      <c r="J22" s="739"/>
      <c r="K22" s="740"/>
      <c r="L22" s="303">
        <v>5</v>
      </c>
      <c r="M22" s="380">
        <f>IF(L22=0,"-",ROUND(L22*B22/B$71,4))</f>
        <v>0.32579999999999998</v>
      </c>
      <c r="Q22" s="368" t="s">
        <v>164</v>
      </c>
      <c r="R22" s="368" t="s">
        <v>165</v>
      </c>
      <c r="S22" s="368" t="s">
        <v>166</v>
      </c>
      <c r="T22" s="368" t="s">
        <v>167</v>
      </c>
      <c r="U22" s="368" t="s">
        <v>168</v>
      </c>
      <c r="V22" s="368" t="s">
        <v>169</v>
      </c>
      <c r="W22" s="368" t="s">
        <v>170</v>
      </c>
      <c r="X22" s="368" t="s">
        <v>171</v>
      </c>
      <c r="Y22" s="368" t="s">
        <v>172</v>
      </c>
      <c r="Z22" s="368" t="s">
        <v>173</v>
      </c>
      <c r="AA22" s="368" t="s">
        <v>174</v>
      </c>
      <c r="AB22" s="368" t="s">
        <v>175</v>
      </c>
      <c r="AC22" s="368" t="s">
        <v>176</v>
      </c>
      <c r="AD22" s="368" t="s">
        <v>178</v>
      </c>
      <c r="AE22" s="368" t="s">
        <v>20</v>
      </c>
      <c r="AI22" s="395"/>
      <c r="AJ22" s="396" t="s">
        <v>258</v>
      </c>
      <c r="AK22" s="397">
        <v>72151000</v>
      </c>
      <c r="AL22" s="398">
        <v>20.47</v>
      </c>
      <c r="AM22" s="399" t="e">
        <f t="shared" si="0"/>
        <v>#DIV/0!</v>
      </c>
      <c r="AN22" s="399"/>
    </row>
    <row r="23" spans="1:40" ht="24" customHeight="1">
      <c r="A23" s="381" t="s">
        <v>26</v>
      </c>
      <c r="B23" s="382"/>
      <c r="C23" s="383"/>
      <c r="D23" s="383"/>
      <c r="E23" s="383"/>
      <c r="F23" s="383"/>
      <c r="G23" s="383"/>
      <c r="H23" s="765" t="s">
        <v>301</v>
      </c>
      <c r="I23" s="766"/>
      <c r="J23" s="766"/>
      <c r="K23" s="767"/>
      <c r="L23" s="384"/>
      <c r="M23" s="385"/>
      <c r="P23" s="368" t="s">
        <v>179</v>
      </c>
      <c r="Q23" s="368">
        <v>0</v>
      </c>
      <c r="R23" s="368" t="e">
        <f>R25+#REF!</f>
        <v>#REF!</v>
      </c>
      <c r="S23" s="368" t="e">
        <f>S25+#REF!+S26+S27+S28+S29+S30+S31</f>
        <v>#REF!</v>
      </c>
      <c r="T23" s="368">
        <v>15621046</v>
      </c>
      <c r="W23" s="368" t="e">
        <f>W25+#REF!</f>
        <v>#REF!</v>
      </c>
      <c r="X23" s="368" t="e">
        <f>X25+#REF!</f>
        <v>#REF!</v>
      </c>
      <c r="Y23" s="368">
        <v>3065219</v>
      </c>
      <c r="Z23" s="368" t="e">
        <f>Z25+#REF!</f>
        <v>#REF!</v>
      </c>
      <c r="AA23" s="368">
        <v>5762411</v>
      </c>
      <c r="AB23" s="368">
        <v>15507983</v>
      </c>
      <c r="AD23" s="368" t="e">
        <f>AD25+#REF!</f>
        <v>#REF!</v>
      </c>
      <c r="AE23" s="368" t="e">
        <f>Q23+R23+S23+T23+W23+X23+Y23+AA23+AB23+AD23</f>
        <v>#REF!</v>
      </c>
      <c r="AF23" s="368" t="e">
        <f>AE23/AE24*100</f>
        <v>#REF!</v>
      </c>
      <c r="AG23" s="368" t="e">
        <f>R23+T23+W23+X23+Y23+Z23+AA23+AB23+AD23</f>
        <v>#REF!</v>
      </c>
      <c r="AH23" s="368" t="e">
        <f>AG23/AG24*100</f>
        <v>#REF!</v>
      </c>
      <c r="AI23" s="395">
        <v>12</v>
      </c>
      <c r="AJ23" s="396" t="s">
        <v>259</v>
      </c>
      <c r="AK23" s="397">
        <v>232129108</v>
      </c>
      <c r="AL23" s="398">
        <v>8.2200000000000006</v>
      </c>
      <c r="AM23" s="399" t="e">
        <f t="shared" si="0"/>
        <v>#DIV/0!</v>
      </c>
      <c r="AN23" s="399">
        <f t="shared" si="1"/>
        <v>8.2200000000000006</v>
      </c>
    </row>
    <row r="24" spans="1:40" ht="24" customHeight="1">
      <c r="A24" s="381"/>
      <c r="B24" s="382"/>
      <c r="C24" s="383"/>
      <c r="D24" s="383"/>
      <c r="E24" s="383"/>
      <c r="F24" s="383"/>
      <c r="G24" s="383"/>
      <c r="H24" s="765" t="s">
        <v>302</v>
      </c>
      <c r="I24" s="766"/>
      <c r="J24" s="766"/>
      <c r="K24" s="767"/>
      <c r="L24" s="384"/>
      <c r="M24" s="385"/>
      <c r="P24" s="368" t="s">
        <v>177</v>
      </c>
      <c r="Q24" s="368">
        <v>0</v>
      </c>
      <c r="R24" s="368" t="e">
        <f>#REF!+R20</f>
        <v>#REF!</v>
      </c>
      <c r="S24" s="368" t="e">
        <f>#REF!+S20+S19+S18+S17+S16+#REF!+#REF!</f>
        <v>#REF!</v>
      </c>
      <c r="T24" s="368">
        <v>31415454</v>
      </c>
      <c r="W24" s="368" t="e">
        <f>#REF!+W20</f>
        <v>#REF!</v>
      </c>
      <c r="X24" s="368" t="e">
        <f>#REF!+X20</f>
        <v>#REF!</v>
      </c>
      <c r="Y24" s="368">
        <v>3065219</v>
      </c>
      <c r="Z24" s="368" t="e">
        <f>#REF!+Z20</f>
        <v>#REF!</v>
      </c>
      <c r="AA24" s="368">
        <v>5836386</v>
      </c>
      <c r="AB24" s="368">
        <v>15507983</v>
      </c>
      <c r="AD24" s="368" t="e">
        <f>#REF!+AD20</f>
        <v>#REF!</v>
      </c>
      <c r="AE24" s="368" t="e">
        <f>Q24+R24+S24+T24+W24+X24+Y24+Z24+AA24+AB24+AD24</f>
        <v>#REF!</v>
      </c>
      <c r="AG24" s="368" t="e">
        <f>R24+T24+W24+X24+Y24+Z24+AA24+AB24</f>
        <v>#REF!</v>
      </c>
      <c r="AI24" s="395">
        <v>13</v>
      </c>
      <c r="AJ24" s="396" t="s">
        <v>260</v>
      </c>
      <c r="AK24" s="397">
        <v>75897000</v>
      </c>
      <c r="AL24" s="398">
        <v>11.23</v>
      </c>
      <c r="AM24" s="399" t="e">
        <f t="shared" si="0"/>
        <v>#DIV/0!</v>
      </c>
      <c r="AN24" s="399" t="e">
        <f>(AL24*AK24/(AK24+AK25+#REF!))+(AL25*AK25/(AK24+AK25+#REF!))+(#REF!*#REF!/(AK24+AK25+#REF!))</f>
        <v>#REF!</v>
      </c>
    </row>
    <row r="25" spans="1:40" ht="24" customHeight="1">
      <c r="A25" s="381"/>
      <c r="B25" s="382"/>
      <c r="C25" s="383"/>
      <c r="D25" s="383"/>
      <c r="E25" s="383"/>
      <c r="F25" s="383"/>
      <c r="G25" s="383"/>
      <c r="H25" s="571"/>
      <c r="I25" s="400" t="s">
        <v>56</v>
      </c>
      <c r="J25" s="472">
        <v>100</v>
      </c>
      <c r="K25" s="573" t="s">
        <v>51</v>
      </c>
      <c r="L25" s="384"/>
      <c r="M25" s="385"/>
      <c r="R25" s="368">
        <v>790426</v>
      </c>
      <c r="S25" s="368">
        <v>5889465</v>
      </c>
      <c r="W25" s="368">
        <v>28318909</v>
      </c>
      <c r="X25" s="368">
        <v>45861247</v>
      </c>
      <c r="Z25" s="368">
        <v>117026964</v>
      </c>
      <c r="AD25" s="368">
        <v>7959313</v>
      </c>
      <c r="AI25" s="395"/>
      <c r="AJ25" s="396" t="s">
        <v>261</v>
      </c>
      <c r="AK25" s="397">
        <v>28808000</v>
      </c>
      <c r="AL25" s="398">
        <v>79.489999999999995</v>
      </c>
      <c r="AM25" s="399" t="e">
        <f t="shared" si="0"/>
        <v>#DIV/0!</v>
      </c>
      <c r="AN25" s="399"/>
    </row>
    <row r="26" spans="1:40" ht="24" customHeight="1">
      <c r="A26" s="507"/>
      <c r="B26" s="508"/>
      <c r="C26" s="509"/>
      <c r="D26" s="509"/>
      <c r="E26" s="509"/>
      <c r="F26" s="509"/>
      <c r="G26" s="509"/>
      <c r="H26" s="511"/>
      <c r="I26" s="587"/>
      <c r="J26" s="587"/>
      <c r="K26" s="588"/>
      <c r="L26" s="510"/>
      <c r="M26" s="376"/>
      <c r="S26" s="368">
        <v>673915</v>
      </c>
      <c r="AI26" s="771" t="s">
        <v>20</v>
      </c>
      <c r="AJ26" s="772"/>
      <c r="AK26" s="408">
        <f>SUM(AK9:AK25)</f>
        <v>4282472334</v>
      </c>
      <c r="AL26" s="409" t="e">
        <f>SUM(AM9:AM25)</f>
        <v>#DIV/0!</v>
      </c>
      <c r="AM26" s="399"/>
      <c r="AN26" s="399"/>
    </row>
    <row r="27" spans="1:40" ht="24" customHeight="1">
      <c r="A27" s="379" t="s">
        <v>148</v>
      </c>
      <c r="B27" s="302">
        <v>5.45</v>
      </c>
      <c r="C27" s="405">
        <v>0.96</v>
      </c>
      <c r="D27" s="405">
        <v>0.97</v>
      </c>
      <c r="E27" s="405">
        <v>0.98</v>
      </c>
      <c r="F27" s="405">
        <v>0.99</v>
      </c>
      <c r="G27" s="405">
        <v>1</v>
      </c>
      <c r="H27" s="779" t="s">
        <v>323</v>
      </c>
      <c r="I27" s="780"/>
      <c r="J27" s="780"/>
      <c r="K27" s="781"/>
      <c r="L27" s="303">
        <v>5</v>
      </c>
      <c r="M27" s="380">
        <f>IF(L27=0,"-",ROUND(L27*B27/B$71,4))</f>
        <v>0.32579999999999998</v>
      </c>
      <c r="S27" s="368">
        <v>59800</v>
      </c>
      <c r="AI27" s="430"/>
      <c r="AJ27" s="431"/>
      <c r="AK27" s="432"/>
      <c r="AL27" s="433"/>
      <c r="AM27" s="434"/>
      <c r="AN27" s="434"/>
    </row>
    <row r="28" spans="1:40" ht="24" customHeight="1">
      <c r="A28" s="381" t="s">
        <v>28</v>
      </c>
      <c r="B28" s="382"/>
      <c r="C28" s="383"/>
      <c r="D28" s="383"/>
      <c r="E28" s="383"/>
      <c r="F28" s="383"/>
      <c r="G28" s="383"/>
      <c r="H28" s="762" t="s">
        <v>324</v>
      </c>
      <c r="I28" s="763"/>
      <c r="J28" s="763"/>
      <c r="K28" s="764"/>
      <c r="L28" s="384"/>
      <c r="M28" s="385"/>
      <c r="S28" s="368">
        <v>921324</v>
      </c>
      <c r="AI28" s="430"/>
      <c r="AJ28" s="431"/>
      <c r="AK28" s="432"/>
      <c r="AL28" s="433"/>
      <c r="AM28" s="434"/>
      <c r="AN28" s="434"/>
    </row>
    <row r="29" spans="1:40" ht="24" customHeight="1">
      <c r="A29" s="381" t="s">
        <v>60</v>
      </c>
      <c r="B29" s="382"/>
      <c r="C29" s="383"/>
      <c r="D29" s="383"/>
      <c r="E29" s="383"/>
      <c r="F29" s="383"/>
      <c r="G29" s="383"/>
      <c r="H29" s="762" t="s">
        <v>325</v>
      </c>
      <c r="I29" s="763"/>
      <c r="J29" s="763"/>
      <c r="K29" s="764"/>
      <c r="L29" s="384"/>
      <c r="M29" s="385"/>
      <c r="S29" s="368">
        <v>278675</v>
      </c>
      <c r="AI29" s="447" t="s">
        <v>263</v>
      </c>
      <c r="AJ29" s="435" t="s">
        <v>14</v>
      </c>
      <c r="AK29" s="436" t="s">
        <v>264</v>
      </c>
      <c r="AL29" s="437" t="s">
        <v>86</v>
      </c>
      <c r="AM29" s="438"/>
      <c r="AN29" s="438" t="s">
        <v>265</v>
      </c>
    </row>
    <row r="30" spans="1:40" ht="24" customHeight="1">
      <c r="A30" s="381"/>
      <c r="B30" s="382"/>
      <c r="C30" s="383"/>
      <c r="D30" s="383"/>
      <c r="E30" s="383"/>
      <c r="F30" s="383"/>
      <c r="G30" s="383"/>
      <c r="H30" s="577"/>
      <c r="I30" s="400" t="s">
        <v>66</v>
      </c>
      <c r="J30" s="591">
        <v>2</v>
      </c>
      <c r="K30" s="578" t="s">
        <v>61</v>
      </c>
      <c r="L30" s="384"/>
      <c r="M30" s="385"/>
      <c r="S30" s="368">
        <v>250781</v>
      </c>
      <c r="AI30" s="439">
        <v>2</v>
      </c>
      <c r="AJ30" s="440" t="s">
        <v>266</v>
      </c>
      <c r="AK30" s="441">
        <v>300000</v>
      </c>
      <c r="AL30" s="442">
        <v>25981.55</v>
      </c>
      <c r="AM30" s="443"/>
      <c r="AN30" s="443">
        <f>AL30*100/AK30</f>
        <v>8.6605166666666662</v>
      </c>
    </row>
    <row r="31" spans="1:40" ht="24" customHeight="1">
      <c r="A31" s="381"/>
      <c r="B31" s="382"/>
      <c r="C31" s="383"/>
      <c r="D31" s="383"/>
      <c r="E31" s="383"/>
      <c r="F31" s="383"/>
      <c r="G31" s="383"/>
      <c r="H31" s="577"/>
      <c r="I31" s="400" t="s">
        <v>67</v>
      </c>
      <c r="J31" s="591">
        <v>2</v>
      </c>
      <c r="K31" s="578" t="s">
        <v>61</v>
      </c>
      <c r="L31" s="384"/>
      <c r="M31" s="385"/>
      <c r="S31" s="368">
        <v>39205</v>
      </c>
      <c r="AI31" s="395">
        <v>3</v>
      </c>
      <c r="AJ31" s="396" t="s">
        <v>267</v>
      </c>
      <c r="AK31" s="397">
        <v>300000</v>
      </c>
      <c r="AL31" s="410">
        <v>26160</v>
      </c>
      <c r="AM31" s="411"/>
      <c r="AN31" s="411">
        <f t="shared" ref="AN31:AN44" si="2">AL31*100/AK31</f>
        <v>8.7200000000000006</v>
      </c>
    </row>
    <row r="32" spans="1:40" ht="24" customHeight="1">
      <c r="A32" s="381"/>
      <c r="B32" s="382"/>
      <c r="C32" s="383"/>
      <c r="D32" s="383"/>
      <c r="E32" s="383"/>
      <c r="F32" s="383"/>
      <c r="G32" s="383"/>
      <c r="H32" s="571"/>
      <c r="I32" s="589" t="s">
        <v>81</v>
      </c>
      <c r="J32" s="532">
        <f>J31*100/J30</f>
        <v>100</v>
      </c>
      <c r="K32" s="573" t="s">
        <v>51</v>
      </c>
      <c r="L32" s="384"/>
      <c r="M32" s="385"/>
      <c r="AB32" s="368">
        <f>AB23/AB24*100</f>
        <v>100</v>
      </c>
      <c r="AI32" s="395">
        <v>4</v>
      </c>
      <c r="AJ32" s="396" t="s">
        <v>268</v>
      </c>
      <c r="AK32" s="397">
        <v>500000</v>
      </c>
      <c r="AL32" s="410">
        <v>166219.85</v>
      </c>
      <c r="AM32" s="411"/>
      <c r="AN32" s="411">
        <f t="shared" si="2"/>
        <v>33.243969999999997</v>
      </c>
    </row>
    <row r="33" spans="1:40" ht="24" customHeight="1">
      <c r="A33" s="507"/>
      <c r="B33" s="508"/>
      <c r="C33" s="509"/>
      <c r="D33" s="509"/>
      <c r="E33" s="509"/>
      <c r="F33" s="509"/>
      <c r="G33" s="509"/>
      <c r="H33" s="773"/>
      <c r="I33" s="769"/>
      <c r="J33" s="769"/>
      <c r="K33" s="770"/>
      <c r="L33" s="510"/>
      <c r="M33" s="376"/>
      <c r="AI33" s="395">
        <v>6</v>
      </c>
      <c r="AJ33" s="396" t="s">
        <v>269</v>
      </c>
      <c r="AK33" s="397">
        <v>300000</v>
      </c>
      <c r="AL33" s="410">
        <v>49020</v>
      </c>
      <c r="AM33" s="411"/>
      <c r="AN33" s="411">
        <f t="shared" si="2"/>
        <v>16.34</v>
      </c>
    </row>
    <row r="34" spans="1:40" ht="24" customHeight="1">
      <c r="A34" s="379" t="s">
        <v>160</v>
      </c>
      <c r="B34" s="302">
        <v>5.45</v>
      </c>
      <c r="C34" s="405">
        <v>0.5</v>
      </c>
      <c r="D34" s="405">
        <v>0.75</v>
      </c>
      <c r="E34" s="405">
        <v>1</v>
      </c>
      <c r="F34" s="405">
        <v>1</v>
      </c>
      <c r="G34" s="405">
        <v>1</v>
      </c>
      <c r="H34" s="738" t="s">
        <v>309</v>
      </c>
      <c r="I34" s="739"/>
      <c r="J34" s="739"/>
      <c r="K34" s="740"/>
      <c r="L34" s="303">
        <v>5</v>
      </c>
      <c r="M34" s="380">
        <f>IF(L34=0,"-",ROUND(L34*B34/B$71,4))</f>
        <v>0.32579999999999998</v>
      </c>
      <c r="AI34" s="395">
        <v>9</v>
      </c>
      <c r="AJ34" s="396" t="s">
        <v>271</v>
      </c>
      <c r="AK34" s="397">
        <v>300000</v>
      </c>
      <c r="AL34" s="410">
        <v>0</v>
      </c>
      <c r="AM34" s="411"/>
      <c r="AN34" s="411">
        <f t="shared" si="2"/>
        <v>0</v>
      </c>
    </row>
    <row r="35" spans="1:40" ht="24" customHeight="1">
      <c r="A35" s="381" t="s">
        <v>161</v>
      </c>
      <c r="B35" s="515"/>
      <c r="C35" s="516"/>
      <c r="D35" s="516"/>
      <c r="E35" s="516"/>
      <c r="F35" s="516" t="s">
        <v>70</v>
      </c>
      <c r="G35" s="516" t="s">
        <v>70</v>
      </c>
      <c r="H35" s="763" t="s">
        <v>213</v>
      </c>
      <c r="I35" s="763"/>
      <c r="J35" s="763"/>
      <c r="K35" s="764"/>
      <c r="L35" s="384"/>
      <c r="M35" s="385"/>
      <c r="AI35" s="395">
        <v>11</v>
      </c>
      <c r="AJ35" s="396" t="s">
        <v>273</v>
      </c>
      <c r="AK35" s="397">
        <v>500000</v>
      </c>
      <c r="AL35" s="410">
        <v>62536.11</v>
      </c>
      <c r="AM35" s="411"/>
      <c r="AN35" s="411">
        <f t="shared" si="2"/>
        <v>12.507222000000001</v>
      </c>
    </row>
    <row r="36" spans="1:40" ht="24" customHeight="1">
      <c r="A36" s="381" t="s">
        <v>310</v>
      </c>
      <c r="B36" s="515"/>
      <c r="C36" s="516"/>
      <c r="D36" s="516"/>
      <c r="E36" s="516"/>
      <c r="F36" s="516" t="s">
        <v>138</v>
      </c>
      <c r="G36" s="516" t="s">
        <v>139</v>
      </c>
      <c r="H36" s="577" t="s">
        <v>200</v>
      </c>
      <c r="I36" s="400" t="s">
        <v>56</v>
      </c>
      <c r="J36" s="472">
        <v>100</v>
      </c>
      <c r="K36" s="570" t="s">
        <v>363</v>
      </c>
      <c r="L36" s="384"/>
      <c r="M36" s="385"/>
      <c r="AI36" s="395"/>
      <c r="AJ36" s="396" t="s">
        <v>275</v>
      </c>
      <c r="AK36" s="397">
        <v>300000</v>
      </c>
      <c r="AL36" s="410">
        <v>57903.85</v>
      </c>
      <c r="AM36" s="411"/>
      <c r="AN36" s="411">
        <f t="shared" si="2"/>
        <v>19.301283333333334</v>
      </c>
    </row>
    <row r="37" spans="1:40" ht="24" customHeight="1">
      <c r="A37" s="507"/>
      <c r="B37" s="508"/>
      <c r="C37" s="509"/>
      <c r="D37" s="509"/>
      <c r="E37" s="509"/>
      <c r="F37" s="509"/>
      <c r="G37" s="509"/>
      <c r="H37" s="773"/>
      <c r="I37" s="774"/>
      <c r="J37" s="774"/>
      <c r="K37" s="775"/>
      <c r="L37" s="510"/>
      <c r="M37" s="376"/>
      <c r="AI37" s="395"/>
      <c r="AJ37" s="396" t="s">
        <v>276</v>
      </c>
      <c r="AK37" s="397">
        <v>300000</v>
      </c>
      <c r="AL37" s="410">
        <v>94848.7</v>
      </c>
      <c r="AM37" s="411"/>
      <c r="AN37" s="411">
        <f t="shared" si="2"/>
        <v>31.616233333333334</v>
      </c>
    </row>
    <row r="38" spans="1:40" ht="24" customHeight="1">
      <c r="A38" s="379" t="s">
        <v>149</v>
      </c>
      <c r="B38" s="302">
        <v>16.36</v>
      </c>
      <c r="C38" s="405">
        <v>0.75</v>
      </c>
      <c r="D38" s="405">
        <v>0.78</v>
      </c>
      <c r="E38" s="405">
        <v>0.81</v>
      </c>
      <c r="F38" s="405">
        <v>0.84</v>
      </c>
      <c r="G38" s="405">
        <v>0.87</v>
      </c>
      <c r="H38" s="738" t="s">
        <v>303</v>
      </c>
      <c r="I38" s="739"/>
      <c r="J38" s="739"/>
      <c r="K38" s="740"/>
      <c r="L38" s="303">
        <v>5</v>
      </c>
      <c r="M38" s="380">
        <f>IF(L38=0,"-",ROUND(L38*B38/B$71,4))</f>
        <v>0.97799999999999998</v>
      </c>
      <c r="AI38" s="395">
        <v>13</v>
      </c>
      <c r="AJ38" s="396" t="s">
        <v>281</v>
      </c>
      <c r="AK38" s="397">
        <v>300000</v>
      </c>
      <c r="AL38" s="410">
        <v>205897.2</v>
      </c>
      <c r="AM38" s="411"/>
      <c r="AN38" s="411">
        <f t="shared" si="2"/>
        <v>68.632400000000004</v>
      </c>
    </row>
    <row r="39" spans="1:40" ht="24" customHeight="1">
      <c r="A39" s="381" t="s">
        <v>137</v>
      </c>
      <c r="B39" s="382"/>
      <c r="C39" s="383"/>
      <c r="D39" s="383"/>
      <c r="E39" s="383"/>
      <c r="F39" s="383"/>
      <c r="G39" s="383"/>
      <c r="H39" s="762" t="s">
        <v>272</v>
      </c>
      <c r="I39" s="763"/>
      <c r="J39" s="763"/>
      <c r="K39" s="764"/>
      <c r="L39" s="384"/>
      <c r="M39" s="385"/>
      <c r="AI39" s="395"/>
      <c r="AJ39" s="396" t="s">
        <v>282</v>
      </c>
      <c r="AK39" s="397">
        <v>300000</v>
      </c>
      <c r="AL39" s="410">
        <v>100339.9</v>
      </c>
      <c r="AM39" s="411"/>
      <c r="AN39" s="411">
        <f t="shared" si="2"/>
        <v>33.446633333333331</v>
      </c>
    </row>
    <row r="40" spans="1:40" ht="24" customHeight="1">
      <c r="A40" s="381"/>
      <c r="B40" s="382"/>
      <c r="C40" s="383"/>
      <c r="D40" s="383"/>
      <c r="E40" s="383"/>
      <c r="F40" s="383"/>
      <c r="G40" s="383"/>
      <c r="H40" s="589"/>
      <c r="I40" s="589" t="s">
        <v>87</v>
      </c>
      <c r="J40" s="590">
        <v>370324300</v>
      </c>
      <c r="K40" s="573" t="s">
        <v>163</v>
      </c>
      <c r="L40" s="384"/>
      <c r="M40" s="385"/>
      <c r="AI40" s="395"/>
      <c r="AJ40" s="396" t="s">
        <v>283</v>
      </c>
      <c r="AK40" s="397">
        <v>300000</v>
      </c>
      <c r="AL40" s="410">
        <v>57000</v>
      </c>
      <c r="AM40" s="411"/>
      <c r="AN40" s="411">
        <f t="shared" si="2"/>
        <v>19</v>
      </c>
    </row>
    <row r="41" spans="1:40" ht="24" customHeight="1">
      <c r="A41" s="381"/>
      <c r="B41" s="382"/>
      <c r="C41" s="383"/>
      <c r="D41" s="383"/>
      <c r="E41" s="383"/>
      <c r="F41" s="383"/>
      <c r="G41" s="383"/>
      <c r="H41" s="589"/>
      <c r="I41" s="400" t="s">
        <v>195</v>
      </c>
      <c r="J41" s="591">
        <v>41498053</v>
      </c>
      <c r="K41" s="573" t="s">
        <v>163</v>
      </c>
      <c r="L41" s="384"/>
      <c r="M41" s="385"/>
      <c r="AI41" s="395"/>
      <c r="AJ41" s="396" t="s">
        <v>284</v>
      </c>
      <c r="AK41" s="397">
        <v>300000</v>
      </c>
      <c r="AL41" s="410">
        <v>54914.85</v>
      </c>
      <c r="AM41" s="411"/>
      <c r="AN41" s="411">
        <f t="shared" si="2"/>
        <v>18.304950000000002</v>
      </c>
    </row>
    <row r="42" spans="1:40" ht="24" customHeight="1">
      <c r="A42" s="381"/>
      <c r="B42" s="382"/>
      <c r="C42" s="383"/>
      <c r="D42" s="383"/>
      <c r="E42" s="383"/>
      <c r="F42" s="383"/>
      <c r="G42" s="383"/>
      <c r="H42" s="589"/>
      <c r="I42" s="400" t="s">
        <v>196</v>
      </c>
      <c r="J42" s="472">
        <v>96.7</v>
      </c>
      <c r="K42" s="573" t="s">
        <v>51</v>
      </c>
      <c r="L42" s="384"/>
      <c r="M42" s="385"/>
      <c r="AI42" s="395"/>
      <c r="AJ42" s="396" t="s">
        <v>285</v>
      </c>
      <c r="AK42" s="397">
        <v>300000</v>
      </c>
      <c r="AL42" s="410">
        <v>66279.649999999994</v>
      </c>
      <c r="AM42" s="411"/>
      <c r="AN42" s="411">
        <f t="shared" si="2"/>
        <v>22.093216666666663</v>
      </c>
    </row>
    <row r="43" spans="1:40" ht="24" customHeight="1">
      <c r="A43" s="507"/>
      <c r="B43" s="508"/>
      <c r="C43" s="509"/>
      <c r="D43" s="509"/>
      <c r="E43" s="509"/>
      <c r="F43" s="509"/>
      <c r="G43" s="509"/>
      <c r="H43" s="592"/>
      <c r="I43" s="587"/>
      <c r="J43" s="593"/>
      <c r="K43" s="588"/>
      <c r="L43" s="510"/>
      <c r="M43" s="376"/>
      <c r="AI43" s="395"/>
      <c r="AJ43" s="396" t="s">
        <v>286</v>
      </c>
      <c r="AK43" s="397">
        <v>500000</v>
      </c>
      <c r="AL43" s="410">
        <v>147338.20000000001</v>
      </c>
      <c r="AM43" s="411"/>
      <c r="AN43" s="411">
        <f t="shared" si="2"/>
        <v>29.467640000000003</v>
      </c>
    </row>
    <row r="44" spans="1:40" ht="24" customHeight="1">
      <c r="A44" s="379" t="s">
        <v>150</v>
      </c>
      <c r="B44" s="302">
        <v>1.87</v>
      </c>
      <c r="C44" s="405">
        <v>0.6</v>
      </c>
      <c r="D44" s="405">
        <v>0.65</v>
      </c>
      <c r="E44" s="405">
        <v>0.7</v>
      </c>
      <c r="F44" s="405">
        <v>0.75</v>
      </c>
      <c r="G44" s="405">
        <v>0.8</v>
      </c>
      <c r="H44" s="738" t="s">
        <v>222</v>
      </c>
      <c r="I44" s="739"/>
      <c r="J44" s="739"/>
      <c r="K44" s="740"/>
      <c r="L44" s="303">
        <v>5</v>
      </c>
      <c r="M44" s="380">
        <f>IF(L44=0,"-",ROUND(L44*B44/B$71,4))</f>
        <v>0.1118</v>
      </c>
      <c r="AI44" s="395"/>
      <c r="AJ44" s="396" t="s">
        <v>277</v>
      </c>
      <c r="AK44" s="397">
        <v>500000</v>
      </c>
      <c r="AL44" s="410">
        <v>150000</v>
      </c>
      <c r="AM44" s="411"/>
      <c r="AN44" s="411">
        <f t="shared" si="2"/>
        <v>30</v>
      </c>
    </row>
    <row r="45" spans="1:40" ht="24" customHeight="1">
      <c r="A45" s="381" t="s">
        <v>151</v>
      </c>
      <c r="B45" s="515"/>
      <c r="C45" s="594"/>
      <c r="D45" s="594"/>
      <c r="E45" s="594"/>
      <c r="F45" s="594"/>
      <c r="G45" s="594"/>
      <c r="H45" s="762" t="s">
        <v>223</v>
      </c>
      <c r="I45" s="763"/>
      <c r="J45" s="763"/>
      <c r="K45" s="764"/>
      <c r="L45" s="384"/>
      <c r="M45" s="385"/>
      <c r="AI45" s="395"/>
      <c r="AJ45" s="396"/>
      <c r="AK45" s="397" t="e">
        <f>AK30+AK31+AK32+#REF!+AK33+AK34+AK35+AK36+#REF!+AK37+AK38+AK39+AK40+AK41+AK42+AK43+AK44</f>
        <v>#REF!</v>
      </c>
      <c r="AL45" s="410" t="e">
        <f>AL30+AL31+AL32+#REF!+AL33+AL34+AL35+AL36+#REF!+AL37+AL38+AL39+AL40+AL41+AL42+AL43+AL44</f>
        <v>#REF!</v>
      </c>
      <c r="AM45" s="411"/>
      <c r="AN45" s="411" t="e">
        <f>AL45*100/AK45</f>
        <v>#REF!</v>
      </c>
    </row>
    <row r="46" spans="1:40" ht="24" customHeight="1">
      <c r="A46" s="381" t="s">
        <v>91</v>
      </c>
      <c r="B46" s="382"/>
      <c r="C46" s="383"/>
      <c r="D46" s="383"/>
      <c r="E46" s="383"/>
      <c r="F46" s="383"/>
      <c r="G46" s="383"/>
      <c r="H46" s="762" t="s">
        <v>224</v>
      </c>
      <c r="I46" s="763"/>
      <c r="J46" s="763"/>
      <c r="K46" s="764"/>
      <c r="L46" s="384"/>
      <c r="M46" s="385"/>
    </row>
    <row r="47" spans="1:40" ht="24" customHeight="1">
      <c r="A47" s="381"/>
      <c r="B47" s="382"/>
      <c r="C47" s="383"/>
      <c r="D47" s="383"/>
      <c r="E47" s="383"/>
      <c r="F47" s="383"/>
      <c r="G47" s="383"/>
      <c r="H47" s="577"/>
      <c r="I47" s="400" t="s">
        <v>97</v>
      </c>
      <c r="J47" s="591">
        <v>271</v>
      </c>
      <c r="K47" s="578" t="s">
        <v>96</v>
      </c>
      <c r="L47" s="384"/>
      <c r="M47" s="385"/>
    </row>
    <row r="48" spans="1:40" ht="24" customHeight="1">
      <c r="A48" s="381"/>
      <c r="B48" s="382"/>
      <c r="C48" s="383"/>
      <c r="D48" s="383"/>
      <c r="E48" s="383"/>
      <c r="F48" s="383"/>
      <c r="G48" s="383"/>
      <c r="H48" s="577"/>
      <c r="I48" s="400" t="s">
        <v>98</v>
      </c>
      <c r="J48" s="591">
        <v>271</v>
      </c>
      <c r="K48" s="578" t="s">
        <v>96</v>
      </c>
      <c r="L48" s="384"/>
      <c r="M48" s="385"/>
    </row>
    <row r="49" spans="1:34" ht="24" customHeight="1">
      <c r="A49" s="381"/>
      <c r="B49" s="382"/>
      <c r="C49" s="383"/>
      <c r="D49" s="383"/>
      <c r="E49" s="383"/>
      <c r="F49" s="383"/>
      <c r="G49" s="383"/>
      <c r="H49" s="571"/>
      <c r="I49" s="400" t="s">
        <v>35</v>
      </c>
      <c r="J49" s="486">
        <f>ROUND(J48*100/J47,2)</f>
        <v>100</v>
      </c>
      <c r="K49" s="573" t="s">
        <v>51</v>
      </c>
      <c r="L49" s="384"/>
      <c r="M49" s="385"/>
    </row>
    <row r="50" spans="1:34" ht="24" customHeight="1">
      <c r="A50" s="507"/>
      <c r="B50" s="508"/>
      <c r="C50" s="509"/>
      <c r="D50" s="509"/>
      <c r="E50" s="509"/>
      <c r="F50" s="509"/>
      <c r="G50" s="509"/>
      <c r="H50" s="595"/>
      <c r="I50" s="596"/>
      <c r="J50" s="596"/>
      <c r="K50" s="574"/>
      <c r="L50" s="510"/>
      <c r="M50" s="376"/>
    </row>
    <row r="51" spans="1:34" ht="24" customHeight="1">
      <c r="A51" s="597" t="s">
        <v>152</v>
      </c>
      <c r="B51" s="490">
        <v>5.45</v>
      </c>
      <c r="C51" s="598">
        <v>0.65</v>
      </c>
      <c r="D51" s="598">
        <v>0.7</v>
      </c>
      <c r="E51" s="598">
        <v>0.75</v>
      </c>
      <c r="F51" s="598">
        <v>0.8</v>
      </c>
      <c r="G51" s="598">
        <v>0.85</v>
      </c>
      <c r="H51" s="738" t="s">
        <v>225</v>
      </c>
      <c r="I51" s="739"/>
      <c r="J51" s="739"/>
      <c r="K51" s="740"/>
      <c r="L51" s="303">
        <v>4.7939999999999996</v>
      </c>
      <c r="M51" s="380">
        <f>IF(L51=0,"-",ROUND(L51*B51/B$71,4))</f>
        <v>0.31240000000000001</v>
      </c>
    </row>
    <row r="52" spans="1:34" ht="24" customHeight="1">
      <c r="A52" s="381" t="s">
        <v>153</v>
      </c>
      <c r="B52" s="382"/>
      <c r="C52" s="383"/>
      <c r="D52" s="383"/>
      <c r="E52" s="383"/>
      <c r="F52" s="383"/>
      <c r="G52" s="383"/>
      <c r="H52" s="762" t="s">
        <v>226</v>
      </c>
      <c r="I52" s="763"/>
      <c r="J52" s="763"/>
      <c r="K52" s="764"/>
      <c r="L52" s="384"/>
      <c r="M52" s="385"/>
    </row>
    <row r="53" spans="1:34" ht="24" customHeight="1">
      <c r="A53" s="599" t="s">
        <v>162</v>
      </c>
      <c r="B53" s="382"/>
      <c r="C53" s="383"/>
      <c r="D53" s="383"/>
      <c r="E53" s="383"/>
      <c r="F53" s="383"/>
      <c r="G53" s="383"/>
      <c r="H53" s="577" t="s">
        <v>200</v>
      </c>
      <c r="I53" s="600" t="s">
        <v>113</v>
      </c>
      <c r="J53" s="486">
        <v>83.97</v>
      </c>
      <c r="K53" s="573" t="s">
        <v>51</v>
      </c>
      <c r="L53" s="384"/>
      <c r="M53" s="385"/>
    </row>
    <row r="54" spans="1:34" ht="24" customHeight="1">
      <c r="A54" s="381"/>
      <c r="B54" s="382"/>
      <c r="C54" s="383"/>
      <c r="D54" s="383"/>
      <c r="E54" s="383"/>
      <c r="F54" s="383"/>
      <c r="G54" s="517"/>
      <c r="H54" s="601"/>
      <c r="I54" s="601"/>
      <c r="J54" s="601"/>
      <c r="K54" s="601"/>
      <c r="L54" s="384"/>
      <c r="M54" s="385"/>
    </row>
    <row r="55" spans="1:34" ht="24" customHeight="1">
      <c r="A55" s="379" t="s">
        <v>154</v>
      </c>
      <c r="B55" s="490">
        <v>5.45</v>
      </c>
      <c r="C55" s="496" t="s">
        <v>29</v>
      </c>
      <c r="D55" s="496" t="s">
        <v>30</v>
      </c>
      <c r="E55" s="496" t="s">
        <v>31</v>
      </c>
      <c r="F55" s="496" t="s">
        <v>32</v>
      </c>
      <c r="G55" s="496" t="s">
        <v>33</v>
      </c>
      <c r="H55" s="738" t="s">
        <v>227</v>
      </c>
      <c r="I55" s="739"/>
      <c r="J55" s="739"/>
      <c r="K55" s="740"/>
      <c r="L55" s="303">
        <v>1</v>
      </c>
      <c r="M55" s="380">
        <f>IF(L55=0,"-",ROUND(L55*B55/B$71,4))</f>
        <v>6.5199999999999994E-2</v>
      </c>
    </row>
    <row r="56" spans="1:34" ht="24" customHeight="1">
      <c r="A56" s="381" t="s">
        <v>107</v>
      </c>
      <c r="B56" s="382"/>
      <c r="C56" s="497">
        <v>1.5</v>
      </c>
      <c r="D56" s="497">
        <v>2</v>
      </c>
      <c r="E56" s="497">
        <v>2.5</v>
      </c>
      <c r="F56" s="497">
        <v>3</v>
      </c>
      <c r="G56" s="497">
        <v>5</v>
      </c>
      <c r="H56" s="762" t="s">
        <v>228</v>
      </c>
      <c r="I56" s="763"/>
      <c r="J56" s="763"/>
      <c r="K56" s="764"/>
      <c r="L56" s="384"/>
      <c r="M56" s="385"/>
    </row>
    <row r="57" spans="1:34" ht="24" customHeight="1">
      <c r="A57" s="381" t="s">
        <v>310</v>
      </c>
      <c r="B57" s="382"/>
      <c r="C57" s="517"/>
      <c r="D57" s="517"/>
      <c r="E57" s="517"/>
      <c r="F57" s="517"/>
      <c r="G57" s="517"/>
      <c r="H57" s="762" t="s">
        <v>213</v>
      </c>
      <c r="I57" s="763"/>
      <c r="J57" s="763"/>
      <c r="K57" s="764"/>
      <c r="L57" s="384"/>
      <c r="M57" s="385"/>
    </row>
    <row r="58" spans="1:34" ht="24" customHeight="1">
      <c r="A58" s="381"/>
      <c r="B58" s="382"/>
      <c r="C58" s="517"/>
      <c r="D58" s="517"/>
      <c r="E58" s="517"/>
      <c r="F58" s="517"/>
      <c r="G58" s="517"/>
      <c r="H58" s="571"/>
      <c r="I58" s="400" t="s">
        <v>112</v>
      </c>
      <c r="J58" s="472" t="s">
        <v>11</v>
      </c>
      <c r="K58" s="573"/>
      <c r="L58" s="384"/>
      <c r="M58" s="385"/>
    </row>
    <row r="59" spans="1:34" ht="24" customHeight="1">
      <c r="A59" s="507"/>
      <c r="B59" s="508"/>
      <c r="C59" s="509"/>
      <c r="D59" s="509"/>
      <c r="E59" s="509"/>
      <c r="F59" s="509"/>
      <c r="G59" s="509"/>
      <c r="H59" s="511"/>
      <c r="I59" s="587"/>
      <c r="J59" s="587"/>
      <c r="K59" s="588"/>
      <c r="L59" s="510"/>
      <c r="M59" s="376"/>
    </row>
    <row r="60" spans="1:34" ht="24" customHeight="1">
      <c r="A60" s="602" t="s">
        <v>155</v>
      </c>
      <c r="B60" s="490">
        <v>5.45</v>
      </c>
      <c r="C60" s="598">
        <v>0.1</v>
      </c>
      <c r="D60" s="598">
        <v>0.3</v>
      </c>
      <c r="E60" s="598">
        <v>0.5</v>
      </c>
      <c r="F60" s="598">
        <v>0.7</v>
      </c>
      <c r="G60" s="598">
        <v>1</v>
      </c>
      <c r="H60" s="738" t="s">
        <v>364</v>
      </c>
      <c r="I60" s="739"/>
      <c r="J60" s="739"/>
      <c r="K60" s="740"/>
      <c r="L60" s="303">
        <f>ROUND(4+((J63-70)*1/30),4)</f>
        <v>4.5332999999999997</v>
      </c>
      <c r="M60" s="380">
        <f>IF(L60=0,"-",ROUND(L60*B60/B$71,4))</f>
        <v>0.2954</v>
      </c>
      <c r="Q60" s="368" t="s">
        <v>164</v>
      </c>
      <c r="R60" s="368" t="s">
        <v>165</v>
      </c>
      <c r="S60" s="368" t="s">
        <v>166</v>
      </c>
      <c r="T60" s="368" t="s">
        <v>180</v>
      </c>
      <c r="U60" s="368" t="s">
        <v>181</v>
      </c>
      <c r="V60" s="368" t="s">
        <v>278</v>
      </c>
      <c r="W60" s="368" t="s">
        <v>183</v>
      </c>
      <c r="X60" s="368" t="s">
        <v>184</v>
      </c>
      <c r="Y60" s="368" t="s">
        <v>185</v>
      </c>
      <c r="Z60" s="368" t="s">
        <v>186</v>
      </c>
      <c r="AA60" s="368" t="s">
        <v>187</v>
      </c>
      <c r="AB60" s="368" t="s">
        <v>188</v>
      </c>
      <c r="AC60" s="368" t="s">
        <v>189</v>
      </c>
      <c r="AD60" s="368" t="s">
        <v>190</v>
      </c>
      <c r="AE60" s="368" t="s">
        <v>191</v>
      </c>
      <c r="AF60" s="368" t="s">
        <v>192</v>
      </c>
      <c r="AG60" s="368" t="s">
        <v>193</v>
      </c>
      <c r="AH60" s="368" t="s">
        <v>20</v>
      </c>
    </row>
    <row r="61" spans="1:34" ht="24" customHeight="1">
      <c r="A61" s="603" t="s">
        <v>197</v>
      </c>
      <c r="B61" s="604"/>
      <c r="C61" s="383"/>
      <c r="D61" s="383"/>
      <c r="E61" s="383"/>
      <c r="F61" s="383"/>
      <c r="G61" s="406"/>
      <c r="H61" s="571" t="s">
        <v>317</v>
      </c>
      <c r="I61" s="501"/>
      <c r="J61" s="581"/>
      <c r="K61" s="582"/>
      <c r="L61" s="518"/>
      <c r="M61" s="385"/>
      <c r="Q61" s="368">
        <v>82</v>
      </c>
      <c r="R61" s="368">
        <v>100</v>
      </c>
      <c r="S61" s="368">
        <v>0</v>
      </c>
      <c r="T61" s="368">
        <v>82</v>
      </c>
      <c r="U61" s="368">
        <v>72</v>
      </c>
      <c r="V61" s="368">
        <v>81</v>
      </c>
      <c r="W61" s="368">
        <v>95</v>
      </c>
      <c r="X61" s="368">
        <v>72</v>
      </c>
      <c r="Y61" s="368">
        <v>80</v>
      </c>
      <c r="Z61" s="368">
        <v>76</v>
      </c>
      <c r="AA61" s="368">
        <v>76</v>
      </c>
      <c r="AB61" s="368">
        <v>86</v>
      </c>
      <c r="AC61" s="368">
        <v>76</v>
      </c>
      <c r="AD61" s="368">
        <v>70</v>
      </c>
      <c r="AE61" s="368">
        <v>100</v>
      </c>
      <c r="AF61" s="368">
        <v>72</v>
      </c>
      <c r="AG61" s="368">
        <v>95</v>
      </c>
      <c r="AH61" s="404">
        <f>(Q61+R61+S61+T61+U61+V61+W61+X61+Y61+Z61+AA61+AB61+AC61+AD61+AE61+AF61+AG61)/17</f>
        <v>77.352941176470594</v>
      </c>
    </row>
    <row r="62" spans="1:34" ht="24" customHeight="1">
      <c r="A62" s="381" t="s">
        <v>310</v>
      </c>
      <c r="B62" s="604"/>
      <c r="C62" s="383"/>
      <c r="D62" s="383"/>
      <c r="E62" s="383"/>
      <c r="F62" s="383"/>
      <c r="G62" s="383"/>
      <c r="H62" s="572" t="s">
        <v>231</v>
      </c>
      <c r="I62" s="501"/>
      <c r="J62" s="581"/>
      <c r="K62" s="582"/>
      <c r="L62" s="518"/>
      <c r="M62" s="385"/>
    </row>
    <row r="63" spans="1:34" ht="24" customHeight="1">
      <c r="A63" s="603"/>
      <c r="B63" s="604"/>
      <c r="C63" s="383"/>
      <c r="D63" s="383"/>
      <c r="E63" s="383"/>
      <c r="F63" s="383"/>
      <c r="G63" s="383"/>
      <c r="H63" s="571"/>
      <c r="I63" s="400" t="s">
        <v>114</v>
      </c>
      <c r="J63" s="545">
        <v>86</v>
      </c>
      <c r="K63" s="573" t="s">
        <v>51</v>
      </c>
      <c r="L63" s="518"/>
      <c r="M63" s="385"/>
      <c r="P63" s="305"/>
    </row>
    <row r="64" spans="1:34" ht="24" customHeight="1">
      <c r="A64" s="605"/>
      <c r="B64" s="606"/>
      <c r="C64" s="509"/>
      <c r="D64" s="509"/>
      <c r="E64" s="509"/>
      <c r="F64" s="509"/>
      <c r="G64" s="509"/>
      <c r="H64" s="512"/>
      <c r="I64" s="587"/>
      <c r="J64" s="587"/>
      <c r="K64" s="588"/>
      <c r="L64" s="607"/>
      <c r="M64" s="376"/>
    </row>
    <row r="65" spans="1:32" ht="24" customHeight="1">
      <c r="A65" s="379" t="s">
        <v>156</v>
      </c>
      <c r="B65" s="490">
        <v>5.45</v>
      </c>
      <c r="C65" s="498">
        <v>0.8</v>
      </c>
      <c r="D65" s="498">
        <v>0.85</v>
      </c>
      <c r="E65" s="498">
        <v>0.9</v>
      </c>
      <c r="F65" s="498">
        <v>0.95</v>
      </c>
      <c r="G65" s="498">
        <v>1</v>
      </c>
      <c r="H65" s="738" t="s">
        <v>304</v>
      </c>
      <c r="I65" s="739"/>
      <c r="J65" s="739"/>
      <c r="K65" s="740"/>
      <c r="L65" s="303">
        <f>ROUND(4+((J69-95)*1/5),4)</f>
        <v>5</v>
      </c>
      <c r="M65" s="380">
        <f>IF(L65=0,"-",ROUND(L65*B65/B$71,4))</f>
        <v>0.32579999999999998</v>
      </c>
      <c r="R65" s="413"/>
    </row>
    <row r="66" spans="1:32" ht="24" customHeight="1">
      <c r="A66" s="381" t="s">
        <v>116</v>
      </c>
      <c r="B66" s="382"/>
      <c r="C66" s="497"/>
      <c r="D66" s="497"/>
      <c r="E66" s="497"/>
      <c r="F66" s="497"/>
      <c r="G66" s="497"/>
      <c r="H66" s="762" t="s">
        <v>305</v>
      </c>
      <c r="I66" s="763"/>
      <c r="J66" s="763"/>
      <c r="K66" s="764"/>
      <c r="L66" s="384"/>
      <c r="M66" s="385"/>
    </row>
    <row r="67" spans="1:32" ht="24" customHeight="1">
      <c r="A67" s="381" t="s">
        <v>310</v>
      </c>
      <c r="B67" s="382"/>
      <c r="C67" s="383"/>
      <c r="D67" s="383"/>
      <c r="E67" s="383"/>
      <c r="F67" s="383"/>
      <c r="G67" s="383"/>
      <c r="H67" s="762" t="s">
        <v>306</v>
      </c>
      <c r="I67" s="763"/>
      <c r="J67" s="763"/>
      <c r="K67" s="764"/>
      <c r="L67" s="384"/>
      <c r="M67" s="385"/>
      <c r="O67" s="375"/>
      <c r="P67" s="375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5"/>
      <c r="AB67" s="375"/>
      <c r="AC67" s="375"/>
      <c r="AD67" s="375"/>
      <c r="AE67" s="375"/>
      <c r="AF67" s="375"/>
    </row>
    <row r="68" spans="1:32" ht="24" customHeight="1">
      <c r="A68" s="381"/>
      <c r="B68" s="382"/>
      <c r="C68" s="383"/>
      <c r="D68" s="383"/>
      <c r="E68" s="383"/>
      <c r="F68" s="383"/>
      <c r="G68" s="383"/>
      <c r="H68" s="571" t="s">
        <v>307</v>
      </c>
      <c r="I68" s="572"/>
      <c r="J68" s="572"/>
      <c r="K68" s="573"/>
      <c r="L68" s="384"/>
      <c r="M68" s="385"/>
      <c r="O68" s="414"/>
      <c r="P68" s="414"/>
      <c r="Q68" s="414"/>
      <c r="R68" s="414"/>
      <c r="S68" s="414"/>
      <c r="T68" s="414"/>
      <c r="U68" s="414"/>
      <c r="V68" s="414"/>
      <c r="W68" s="414"/>
      <c r="X68" s="414"/>
      <c r="Y68" s="414"/>
      <c r="Z68" s="414"/>
      <c r="AA68" s="414"/>
      <c r="AB68" s="414"/>
      <c r="AC68" s="414"/>
      <c r="AD68" s="414"/>
      <c r="AE68" s="414"/>
      <c r="AF68" s="414"/>
    </row>
    <row r="69" spans="1:32" ht="24" customHeight="1">
      <c r="A69" s="381"/>
      <c r="B69" s="382"/>
      <c r="C69" s="383"/>
      <c r="D69" s="383"/>
      <c r="E69" s="383"/>
      <c r="F69" s="383"/>
      <c r="G69" s="383"/>
      <c r="H69" s="571"/>
      <c r="I69" s="400" t="s">
        <v>114</v>
      </c>
      <c r="J69" s="545">
        <v>100</v>
      </c>
      <c r="K69" s="578" t="s">
        <v>51</v>
      </c>
      <c r="L69" s="384"/>
      <c r="M69" s="385"/>
      <c r="O69" s="414"/>
      <c r="P69" s="414"/>
      <c r="Q69" s="414"/>
      <c r="R69" s="414"/>
      <c r="S69" s="414"/>
      <c r="T69" s="414"/>
      <c r="U69" s="414"/>
      <c r="V69" s="414"/>
      <c r="W69" s="414"/>
      <c r="X69" s="414"/>
      <c r="Y69" s="414"/>
      <c r="Z69" s="414"/>
      <c r="AA69" s="414"/>
      <c r="AB69" s="414"/>
      <c r="AC69" s="414"/>
      <c r="AD69" s="414"/>
      <c r="AE69" s="414"/>
      <c r="AF69" s="414"/>
    </row>
    <row r="70" spans="1:32" ht="24" customHeight="1">
      <c r="A70" s="381"/>
      <c r="B70" s="608"/>
      <c r="C70" s="383"/>
      <c r="D70" s="383"/>
      <c r="E70" s="383"/>
      <c r="F70" s="383"/>
      <c r="G70" s="517"/>
      <c r="H70" s="571"/>
      <c r="I70" s="601"/>
      <c r="J70" s="600"/>
      <c r="K70" s="578"/>
      <c r="L70" s="384"/>
      <c r="M70" s="385"/>
      <c r="O70" s="414"/>
      <c r="P70" s="414"/>
      <c r="Q70" s="414"/>
      <c r="R70" s="414"/>
      <c r="S70" s="414"/>
      <c r="T70" s="414"/>
      <c r="U70" s="414"/>
      <c r="V70" s="414"/>
      <c r="W70" s="414"/>
      <c r="X70" s="414"/>
      <c r="Y70" s="414"/>
      <c r="Z70" s="414"/>
      <c r="AA70" s="414"/>
      <c r="AB70" s="414"/>
      <c r="AC70" s="414"/>
      <c r="AD70" s="414"/>
      <c r="AE70" s="414"/>
      <c r="AF70" s="414"/>
    </row>
    <row r="71" spans="1:32" ht="24" customHeight="1">
      <c r="A71" s="415"/>
      <c r="B71" s="416">
        <f>SUM(B6:B70)</f>
        <v>83.640000000000015</v>
      </c>
      <c r="C71" s="417"/>
      <c r="D71" s="417"/>
      <c r="E71" s="417"/>
      <c r="F71" s="417"/>
      <c r="G71" s="418"/>
      <c r="H71" s="417"/>
      <c r="I71" s="417"/>
      <c r="J71" s="417"/>
      <c r="K71" s="417"/>
      <c r="L71" s="419" t="s">
        <v>140</v>
      </c>
      <c r="M71" s="420">
        <f>SUM(M6:M70)</f>
        <v>4.6847000000000003</v>
      </c>
      <c r="O71" s="414"/>
      <c r="P71" s="414"/>
      <c r="Q71" s="414"/>
      <c r="R71" s="414"/>
      <c r="S71" s="414"/>
      <c r="T71" s="414"/>
      <c r="U71" s="414"/>
      <c r="V71" s="414"/>
      <c r="W71" s="414"/>
      <c r="X71" s="414"/>
      <c r="Y71" s="414"/>
      <c r="Z71" s="414"/>
      <c r="AA71" s="414"/>
      <c r="AB71" s="414"/>
      <c r="AC71" s="414"/>
      <c r="AD71" s="414"/>
      <c r="AE71" s="414"/>
      <c r="AF71" s="414"/>
    </row>
    <row r="72" spans="1:32" ht="24" customHeight="1">
      <c r="O72" s="414"/>
      <c r="P72" s="414"/>
      <c r="Q72" s="414"/>
      <c r="R72" s="414"/>
      <c r="S72" s="414"/>
      <c r="T72" s="414"/>
      <c r="U72" s="414"/>
      <c r="V72" s="422"/>
      <c r="W72" s="414"/>
      <c r="X72" s="414"/>
      <c r="Y72" s="414"/>
      <c r="Z72" s="414"/>
      <c r="AA72" s="414"/>
      <c r="AB72" s="414"/>
      <c r="AC72" s="414"/>
      <c r="AD72" s="414"/>
      <c r="AE72" s="414"/>
      <c r="AF72" s="414"/>
    </row>
    <row r="73" spans="1:32" ht="24" customHeight="1">
      <c r="A73" s="423"/>
    </row>
    <row r="74" spans="1:32" ht="24" customHeight="1"/>
    <row r="75" spans="1:32" ht="24" customHeight="1"/>
    <row r="76" spans="1:32" ht="24" customHeight="1"/>
    <row r="77" spans="1:32" ht="24" customHeight="1"/>
    <row r="78" spans="1:32" ht="24" customHeight="1"/>
    <row r="79" spans="1:32" ht="24" customHeight="1"/>
    <row r="80" spans="1:32" ht="24" customHeight="1"/>
  </sheetData>
  <mergeCells count="41">
    <mergeCell ref="H57:K57"/>
    <mergeCell ref="H60:K60"/>
    <mergeCell ref="H65:K65"/>
    <mergeCell ref="H66:K66"/>
    <mergeCell ref="H67:K67"/>
    <mergeCell ref="AI26:AJ26"/>
    <mergeCell ref="H27:K27"/>
    <mergeCell ref="H28:K28"/>
    <mergeCell ref="H29:K29"/>
    <mergeCell ref="H56:K56"/>
    <mergeCell ref="H34:K34"/>
    <mergeCell ref="H35:K35"/>
    <mergeCell ref="H37:K37"/>
    <mergeCell ref="H38:K38"/>
    <mergeCell ref="H39:K39"/>
    <mergeCell ref="H44:K44"/>
    <mergeCell ref="H45:K45"/>
    <mergeCell ref="H46:K46"/>
    <mergeCell ref="H51:K51"/>
    <mergeCell ref="H52:K52"/>
    <mergeCell ref="H55:K55"/>
    <mergeCell ref="H33:K33"/>
    <mergeCell ref="H14:K14"/>
    <mergeCell ref="H17:K17"/>
    <mergeCell ref="H18:K18"/>
    <mergeCell ref="H19:K19"/>
    <mergeCell ref="H22:K22"/>
    <mergeCell ref="H23:K23"/>
    <mergeCell ref="H24:K24"/>
    <mergeCell ref="H13:K13"/>
    <mergeCell ref="A1:M1"/>
    <mergeCell ref="A2:M2"/>
    <mergeCell ref="C4:G4"/>
    <mergeCell ref="H4:K5"/>
    <mergeCell ref="L4:L5"/>
    <mergeCell ref="H6:K6"/>
    <mergeCell ref="H7:K7"/>
    <mergeCell ref="H8:K8"/>
    <mergeCell ref="H9:K9"/>
    <mergeCell ref="H11:K11"/>
    <mergeCell ref="H12:K12"/>
  </mergeCells>
  <printOptions horizontalCentered="1"/>
  <pageMargins left="0.196850393700787" right="0.196850393700787" top="0.55118110236220497" bottom="0.27559055118110198" header="0.196850393700787" footer="0.47244094488188998"/>
  <pageSetup paperSize="9" scale="68" orientation="landscape" r:id="rId1"/>
  <headerFooter scaleWithDoc="0">
    <oddHeader>&amp;R&amp;"TH SarabunPSK,Regular"&amp;16&amp;P</oddHeader>
  </headerFooter>
  <rowBreaks count="2" manualBreakCount="2">
    <brk id="26" max="12" man="1"/>
    <brk id="50" max="12" man="1"/>
  </row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N84"/>
  <sheetViews>
    <sheetView view="pageBreakPreview" zoomScaleNormal="90" zoomScaleSheetLayoutView="100" zoomScalePageLayoutView="50" workbookViewId="0">
      <selection activeCell="J44" sqref="J44"/>
    </sheetView>
  </sheetViews>
  <sheetFormatPr defaultColWidth="9.140625" defaultRowHeight="21"/>
  <cols>
    <col min="1" max="1" width="38" style="368" customWidth="1"/>
    <col min="2" max="2" width="11.5703125" style="368" customWidth="1"/>
    <col min="3" max="3" width="9.85546875" style="368" customWidth="1"/>
    <col min="4" max="7" width="9.28515625" style="368" customWidth="1"/>
    <col min="8" max="8" width="9.85546875" style="368" customWidth="1"/>
    <col min="9" max="9" width="20" style="368" customWidth="1"/>
    <col min="10" max="10" width="16.5703125" style="368" customWidth="1"/>
    <col min="11" max="11" width="34.28515625" style="368" customWidth="1"/>
    <col min="12" max="12" width="11.140625" style="421" customWidth="1"/>
    <col min="13" max="13" width="11.140625" style="368" customWidth="1"/>
    <col min="14" max="16" width="9.140625" style="368"/>
    <col min="17" max="17" width="12.42578125" style="368" bestFit="1" customWidth="1"/>
    <col min="18" max="20" width="11.5703125" style="368" bestFit="1" customWidth="1"/>
    <col min="21" max="21" width="9.140625" style="368"/>
    <col min="22" max="30" width="11.5703125" style="368" bestFit="1" customWidth="1"/>
    <col min="31" max="31" width="17.7109375" style="368" customWidth="1"/>
    <col min="32" max="32" width="9.28515625" style="368" bestFit="1" customWidth="1"/>
    <col min="33" max="33" width="11.28515625" style="368" bestFit="1" customWidth="1"/>
    <col min="34" max="35" width="9.140625" style="368"/>
    <col min="36" max="36" width="86.140625" style="368" bestFit="1" customWidth="1"/>
    <col min="37" max="37" width="19.28515625" style="368" bestFit="1" customWidth="1"/>
    <col min="38" max="38" width="15" style="368" bestFit="1" customWidth="1"/>
    <col min="39" max="39" width="10.42578125" style="368" bestFit="1" customWidth="1"/>
    <col min="40" max="16384" width="9.140625" style="368"/>
  </cols>
  <sheetData>
    <row r="1" spans="1:31" ht="24" customHeight="1">
      <c r="A1" s="752" t="s">
        <v>0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2" spans="1:31" ht="24" customHeight="1">
      <c r="A2" s="752" t="s">
        <v>352</v>
      </c>
      <c r="B2" s="753"/>
      <c r="C2" s="753"/>
      <c r="D2" s="753"/>
      <c r="E2" s="753"/>
      <c r="F2" s="753"/>
      <c r="G2" s="753"/>
      <c r="H2" s="753"/>
      <c r="I2" s="753"/>
      <c r="J2" s="753"/>
      <c r="K2" s="753"/>
      <c r="L2" s="753"/>
      <c r="M2" s="753"/>
    </row>
    <row r="3" spans="1:31" ht="24" customHeight="1">
      <c r="A3" s="369" t="s">
        <v>373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1"/>
      <c r="M3" s="372" t="s">
        <v>237</v>
      </c>
    </row>
    <row r="4" spans="1:31" s="375" customFormat="1" ht="24" customHeight="1">
      <c r="A4" s="373" t="s">
        <v>1</v>
      </c>
      <c r="B4" s="373" t="s">
        <v>2</v>
      </c>
      <c r="C4" s="754" t="s">
        <v>3</v>
      </c>
      <c r="D4" s="754"/>
      <c r="E4" s="754"/>
      <c r="F4" s="754"/>
      <c r="G4" s="754"/>
      <c r="H4" s="755" t="s">
        <v>4</v>
      </c>
      <c r="I4" s="756"/>
      <c r="J4" s="756"/>
      <c r="K4" s="757"/>
      <c r="L4" s="761" t="s">
        <v>5</v>
      </c>
      <c r="M4" s="374" t="s">
        <v>6</v>
      </c>
    </row>
    <row r="5" spans="1:31" s="375" customFormat="1" ht="24" customHeight="1">
      <c r="A5" s="376" t="s">
        <v>7</v>
      </c>
      <c r="B5" s="376" t="s">
        <v>8</v>
      </c>
      <c r="C5" s="377">
        <v>1</v>
      </c>
      <c r="D5" s="377">
        <v>2</v>
      </c>
      <c r="E5" s="377">
        <v>3</v>
      </c>
      <c r="F5" s="377">
        <v>4</v>
      </c>
      <c r="G5" s="377">
        <v>5</v>
      </c>
      <c r="H5" s="758"/>
      <c r="I5" s="759"/>
      <c r="J5" s="759"/>
      <c r="K5" s="760"/>
      <c r="L5" s="761"/>
      <c r="M5" s="378" t="s">
        <v>9</v>
      </c>
    </row>
    <row r="6" spans="1:31" ht="24" customHeight="1">
      <c r="A6" s="379" t="s">
        <v>157</v>
      </c>
      <c r="B6" s="302">
        <v>16.36</v>
      </c>
      <c r="C6" s="522">
        <v>1655</v>
      </c>
      <c r="D6" s="522">
        <v>1694</v>
      </c>
      <c r="E6" s="522">
        <v>1733</v>
      </c>
      <c r="F6" s="522">
        <v>1771</v>
      </c>
      <c r="G6" s="522">
        <v>1810</v>
      </c>
      <c r="H6" s="782" t="s">
        <v>14</v>
      </c>
      <c r="I6" s="783"/>
      <c r="J6" s="784" t="s">
        <v>15</v>
      </c>
      <c r="K6" s="784"/>
      <c r="L6" s="303">
        <v>5</v>
      </c>
      <c r="M6" s="380">
        <f>IF(L6=0,"-",ROUND(L6*B6/B$75,4))</f>
        <v>0.86519999999999997</v>
      </c>
    </row>
    <row r="7" spans="1:31" ht="24" customHeight="1">
      <c r="A7" s="381" t="s">
        <v>158</v>
      </c>
      <c r="B7" s="515"/>
      <c r="C7" s="523" t="s">
        <v>38</v>
      </c>
      <c r="D7" s="523" t="s">
        <v>38</v>
      </c>
      <c r="E7" s="523" t="s">
        <v>39</v>
      </c>
      <c r="F7" s="523" t="s">
        <v>38</v>
      </c>
      <c r="G7" s="523" t="s">
        <v>38</v>
      </c>
      <c r="H7" s="782"/>
      <c r="I7" s="783"/>
      <c r="J7" s="524" t="s">
        <v>17</v>
      </c>
      <c r="K7" s="524" t="s">
        <v>18</v>
      </c>
      <c r="L7" s="384"/>
      <c r="M7" s="385"/>
    </row>
    <row r="8" spans="1:31" ht="24" customHeight="1">
      <c r="A8" s="381"/>
      <c r="B8" s="382"/>
      <c r="C8" s="383"/>
      <c r="D8" s="383"/>
      <c r="E8" s="383"/>
      <c r="F8" s="383" t="s">
        <v>353</v>
      </c>
      <c r="G8" s="383"/>
      <c r="H8" s="575" t="s">
        <v>41</v>
      </c>
      <c r="I8" s="576"/>
      <c r="J8" s="579">
        <v>2000</v>
      </c>
      <c r="K8" s="613">
        <v>2000</v>
      </c>
      <c r="L8" s="384"/>
      <c r="M8" s="385"/>
    </row>
    <row r="9" spans="1:31" ht="24" customHeight="1">
      <c r="A9" s="381"/>
      <c r="B9" s="382"/>
      <c r="C9" s="383"/>
      <c r="D9" s="383"/>
      <c r="E9" s="383"/>
      <c r="F9" s="383"/>
      <c r="G9" s="383"/>
      <c r="H9" s="762" t="s">
        <v>142</v>
      </c>
      <c r="I9" s="764"/>
      <c r="J9" s="461"/>
      <c r="K9" s="531"/>
      <c r="L9" s="384"/>
      <c r="M9" s="385"/>
    </row>
    <row r="10" spans="1:31" ht="24" customHeight="1">
      <c r="A10" s="381"/>
      <c r="B10" s="382"/>
      <c r="C10" s="383"/>
      <c r="D10" s="383"/>
      <c r="E10" s="383"/>
      <c r="F10" s="383"/>
      <c r="G10" s="383"/>
      <c r="H10" s="789" t="s">
        <v>143</v>
      </c>
      <c r="I10" s="790"/>
      <c r="J10" s="463"/>
      <c r="K10" s="580"/>
      <c r="L10" s="384"/>
      <c r="M10" s="385"/>
    </row>
    <row r="11" spans="1:31" ht="24" customHeight="1">
      <c r="A11" s="381"/>
      <c r="B11" s="382"/>
      <c r="C11" s="383"/>
      <c r="D11" s="383"/>
      <c r="E11" s="383"/>
      <c r="F11" s="383"/>
      <c r="G11" s="383"/>
      <c r="H11" s="569" t="s">
        <v>374</v>
      </c>
      <c r="I11" s="570"/>
      <c r="J11" s="461">
        <v>3800</v>
      </c>
      <c r="K11" s="462">
        <v>3800</v>
      </c>
      <c r="L11" s="384"/>
      <c r="M11" s="385"/>
    </row>
    <row r="12" spans="1:31" ht="24" customHeight="1">
      <c r="A12" s="381"/>
      <c r="B12" s="382"/>
      <c r="C12" s="383"/>
      <c r="D12" s="383"/>
      <c r="E12" s="383"/>
      <c r="F12" s="383"/>
      <c r="G12" s="383"/>
      <c r="H12" s="569" t="s">
        <v>371</v>
      </c>
      <c r="I12" s="570"/>
      <c r="J12" s="461"/>
      <c r="K12" s="580"/>
      <c r="L12" s="384"/>
      <c r="M12" s="385"/>
    </row>
    <row r="13" spans="1:31" ht="24" customHeight="1" thickBot="1">
      <c r="A13" s="381"/>
      <c r="B13" s="382"/>
      <c r="C13" s="383"/>
      <c r="D13" s="383"/>
      <c r="E13" s="383"/>
      <c r="F13" s="383"/>
      <c r="G13" s="383"/>
      <c r="H13" s="785" t="s">
        <v>20</v>
      </c>
      <c r="I13" s="785"/>
      <c r="J13" s="465">
        <v>5800</v>
      </c>
      <c r="K13" s="466">
        <f>SUM(K6:K12)</f>
        <v>5800</v>
      </c>
      <c r="L13" s="384"/>
      <c r="M13" s="385"/>
    </row>
    <row r="14" spans="1:31" ht="24" customHeight="1" thickTop="1">
      <c r="A14" s="381"/>
      <c r="B14" s="382"/>
      <c r="C14" s="383"/>
      <c r="D14" s="383"/>
      <c r="E14" s="383"/>
      <c r="F14" s="383"/>
      <c r="G14" s="383"/>
      <c r="H14" s="515"/>
      <c r="I14" s="501"/>
      <c r="J14" s="468"/>
      <c r="K14" s="469"/>
      <c r="L14" s="384"/>
      <c r="M14" s="385"/>
    </row>
    <row r="15" spans="1:31" ht="24" customHeight="1">
      <c r="A15" s="379" t="s">
        <v>159</v>
      </c>
      <c r="B15" s="302">
        <v>5.45</v>
      </c>
      <c r="C15" s="506">
        <v>0.65</v>
      </c>
      <c r="D15" s="506">
        <v>0.7</v>
      </c>
      <c r="E15" s="506">
        <v>0.75</v>
      </c>
      <c r="F15" s="506">
        <v>0.8</v>
      </c>
      <c r="G15" s="506">
        <v>0.85</v>
      </c>
      <c r="H15" s="738" t="s">
        <v>203</v>
      </c>
      <c r="I15" s="739"/>
      <c r="J15" s="739"/>
      <c r="K15" s="740"/>
      <c r="L15" s="303">
        <v>4.8520000000000003</v>
      </c>
      <c r="M15" s="380">
        <f>IF(L15=0,"-",ROUND(L15*B15/B$75,4))</f>
        <v>0.2797</v>
      </c>
    </row>
    <row r="16" spans="1:31" ht="24" customHeight="1">
      <c r="A16" s="381" t="s">
        <v>144</v>
      </c>
      <c r="B16" s="382"/>
      <c r="C16" s="383"/>
      <c r="D16" s="383"/>
      <c r="E16" s="383"/>
      <c r="F16" s="383"/>
      <c r="G16" s="383"/>
      <c r="H16" s="762" t="s">
        <v>365</v>
      </c>
      <c r="I16" s="763"/>
      <c r="J16" s="763"/>
      <c r="K16" s="764"/>
      <c r="L16" s="384"/>
      <c r="M16" s="385"/>
      <c r="N16" s="375" t="s">
        <v>238</v>
      </c>
      <c r="O16" s="386" t="s">
        <v>164</v>
      </c>
      <c r="P16" s="375" t="s">
        <v>165</v>
      </c>
      <c r="Q16" s="375" t="s">
        <v>166</v>
      </c>
      <c r="R16" s="386" t="s">
        <v>167</v>
      </c>
      <c r="S16" s="386" t="s">
        <v>168</v>
      </c>
      <c r="T16" s="386" t="s">
        <v>169</v>
      </c>
      <c r="U16" s="386" t="s">
        <v>170</v>
      </c>
      <c r="V16" s="386" t="s">
        <v>171</v>
      </c>
      <c r="W16" s="375" t="s">
        <v>172</v>
      </c>
      <c r="X16" s="386" t="s">
        <v>173</v>
      </c>
      <c r="Y16" s="386" t="s">
        <v>174</v>
      </c>
      <c r="Z16" s="375" t="s">
        <v>175</v>
      </c>
      <c r="AA16" s="386" t="s">
        <v>176</v>
      </c>
      <c r="AB16" s="386" t="s">
        <v>178</v>
      </c>
      <c r="AC16" s="375" t="s">
        <v>192</v>
      </c>
      <c r="AD16" s="375" t="s">
        <v>239</v>
      </c>
      <c r="AE16" s="375" t="s">
        <v>240</v>
      </c>
    </row>
    <row r="17" spans="1:40" ht="24" customHeight="1">
      <c r="A17" s="381"/>
      <c r="B17" s="382"/>
      <c r="C17" s="383"/>
      <c r="D17" s="383"/>
      <c r="E17" s="383"/>
      <c r="F17" s="383"/>
      <c r="G17" s="383"/>
      <c r="H17" s="762" t="s">
        <v>204</v>
      </c>
      <c r="I17" s="763"/>
      <c r="J17" s="763"/>
      <c r="K17" s="764"/>
      <c r="L17" s="384"/>
      <c r="M17" s="385"/>
      <c r="AI17" s="447" t="s">
        <v>241</v>
      </c>
      <c r="AJ17" s="388" t="s">
        <v>14</v>
      </c>
      <c r="AK17" s="389" t="s">
        <v>242</v>
      </c>
      <c r="AL17" s="390" t="s">
        <v>243</v>
      </c>
      <c r="AM17" s="391"/>
      <c r="AN17" s="391" t="s">
        <v>244</v>
      </c>
    </row>
    <row r="18" spans="1:40" ht="24" customHeight="1">
      <c r="A18" s="381"/>
      <c r="B18" s="382"/>
      <c r="C18" s="383"/>
      <c r="D18" s="383"/>
      <c r="E18" s="383"/>
      <c r="F18" s="383"/>
      <c r="G18" s="383"/>
      <c r="H18" s="762" t="s">
        <v>205</v>
      </c>
      <c r="I18" s="763"/>
      <c r="J18" s="763"/>
      <c r="K18" s="764"/>
      <c r="L18" s="384"/>
      <c r="M18" s="385"/>
      <c r="N18" s="392">
        <f>SUM(O18:AB18)</f>
        <v>2754.9592476500002</v>
      </c>
      <c r="O18" s="393">
        <v>63.05</v>
      </c>
      <c r="P18" s="393">
        <v>363.36509999999998</v>
      </c>
      <c r="Q18" s="393">
        <v>157.61449099999999</v>
      </c>
      <c r="R18" s="393">
        <v>122.296868</v>
      </c>
      <c r="S18" s="393"/>
      <c r="T18" s="393">
        <v>687.09411299999999</v>
      </c>
      <c r="U18" s="394">
        <v>432.493359</v>
      </c>
      <c r="V18" s="393"/>
      <c r="W18" s="393">
        <v>567.82270000000005</v>
      </c>
      <c r="X18" s="393">
        <v>128.228759</v>
      </c>
      <c r="Y18" s="393">
        <v>39.988</v>
      </c>
      <c r="AA18" s="326">
        <v>103.4341</v>
      </c>
      <c r="AB18" s="393">
        <v>89.571757649999995</v>
      </c>
      <c r="AC18" s="368">
        <f>SUM(O18:AB18)</f>
        <v>2754.9592476500002</v>
      </c>
      <c r="AE18" s="368">
        <f>AC18</f>
        <v>2754.9592476500002</v>
      </c>
      <c r="AI18" s="395">
        <v>1</v>
      </c>
      <c r="AJ18" s="396" t="s">
        <v>245</v>
      </c>
      <c r="AK18" s="397">
        <v>172677500</v>
      </c>
      <c r="AL18" s="398">
        <v>13.36</v>
      </c>
      <c r="AM18" s="399" t="e">
        <f t="shared" ref="AM18:AM30" si="0">AL18*AK18/$C$22</f>
        <v>#DIV/0!</v>
      </c>
      <c r="AN18" s="399">
        <f>AL18*AK18/AK18</f>
        <v>13.36</v>
      </c>
    </row>
    <row r="19" spans="1:40" ht="24" customHeight="1">
      <c r="A19" s="381"/>
      <c r="B19" s="382"/>
      <c r="C19" s="383"/>
      <c r="D19" s="383"/>
      <c r="E19" s="383"/>
      <c r="F19" s="383"/>
      <c r="G19" s="383"/>
      <c r="I19" s="400" t="s">
        <v>54</v>
      </c>
      <c r="J19" s="472">
        <v>84.26</v>
      </c>
      <c r="K19" s="573" t="s">
        <v>51</v>
      </c>
      <c r="L19" s="384"/>
      <c r="M19" s="385"/>
      <c r="N19" s="368">
        <f>(O19*O18+P19*P18+Q19*Q18+R19*R18+S19*S18+T19*T18+U19*U18+V19*V18+W19*W18+X19*X18+Y19*Y18+Z19*Z18+AA19*AA18+AB19*AB18)/N18</f>
        <v>84.754654906071266</v>
      </c>
      <c r="O19" s="393">
        <v>100</v>
      </c>
      <c r="P19" s="393">
        <v>63.46</v>
      </c>
      <c r="Q19" s="393">
        <v>51.39</v>
      </c>
      <c r="R19" s="393">
        <v>100</v>
      </c>
      <c r="S19" s="393"/>
      <c r="T19" s="393">
        <v>100</v>
      </c>
      <c r="U19" s="393">
        <v>98.85</v>
      </c>
      <c r="V19" s="393"/>
      <c r="W19" s="401">
        <v>77.599999999999994</v>
      </c>
      <c r="X19" s="393">
        <v>66.87</v>
      </c>
      <c r="Y19" s="393">
        <v>100</v>
      </c>
      <c r="AA19" s="393">
        <v>71.75</v>
      </c>
      <c r="AB19" s="393">
        <v>92.47</v>
      </c>
      <c r="AC19" s="402">
        <f>J19</f>
        <v>84.26</v>
      </c>
      <c r="AE19" s="402">
        <f>J19</f>
        <v>84.26</v>
      </c>
      <c r="AI19" s="395">
        <v>2</v>
      </c>
      <c r="AJ19" s="396" t="s">
        <v>246</v>
      </c>
      <c r="AK19" s="397">
        <v>525283600</v>
      </c>
      <c r="AL19" s="398">
        <v>35.229999999999997</v>
      </c>
      <c r="AM19" s="399" t="e">
        <f t="shared" si="0"/>
        <v>#DIV/0!</v>
      </c>
      <c r="AN19" s="399">
        <f t="shared" ref="AN19:AN25" si="1">(AL19*AK19/AK19)</f>
        <v>35.229999999999997</v>
      </c>
    </row>
    <row r="20" spans="1:40" ht="24" customHeight="1">
      <c r="A20" s="507"/>
      <c r="B20" s="508"/>
      <c r="C20" s="509"/>
      <c r="D20" s="509"/>
      <c r="E20" s="509"/>
      <c r="F20" s="509"/>
      <c r="G20" s="509"/>
      <c r="H20" s="768"/>
      <c r="I20" s="769"/>
      <c r="J20" s="769"/>
      <c r="K20" s="770"/>
      <c r="L20" s="510"/>
      <c r="M20" s="376"/>
      <c r="AE20" s="368" t="s">
        <v>20</v>
      </c>
      <c r="AI20" s="395"/>
      <c r="AJ20" s="396" t="s">
        <v>247</v>
      </c>
      <c r="AK20" s="397">
        <v>63771100</v>
      </c>
      <c r="AL20" s="398">
        <v>0.28000000000000003</v>
      </c>
      <c r="AM20" s="399" t="e">
        <f t="shared" si="0"/>
        <v>#DIV/0!</v>
      </c>
      <c r="AN20" s="399"/>
    </row>
    <row r="21" spans="1:40" ht="24" customHeight="1">
      <c r="A21" s="379" t="s">
        <v>145</v>
      </c>
      <c r="B21" s="302">
        <v>16.36</v>
      </c>
      <c r="C21" s="506">
        <v>0.69</v>
      </c>
      <c r="D21" s="506">
        <v>0.72</v>
      </c>
      <c r="E21" s="506">
        <v>0.75</v>
      </c>
      <c r="F21" s="506">
        <v>0.78</v>
      </c>
      <c r="G21" s="506">
        <v>0.81</v>
      </c>
      <c r="H21" s="739" t="s">
        <v>206</v>
      </c>
      <c r="I21" s="739"/>
      <c r="J21" s="739"/>
      <c r="K21" s="740"/>
      <c r="L21" s="303">
        <v>5</v>
      </c>
      <c r="M21" s="380">
        <f>IF(L21=0,"-",ROUND(L21*B21/B$75,4))</f>
        <v>0.86519999999999997</v>
      </c>
      <c r="P21" s="368" t="s">
        <v>177</v>
      </c>
      <c r="Q21" s="368">
        <v>88227925</v>
      </c>
      <c r="R21" s="368">
        <v>454314777</v>
      </c>
      <c r="S21" s="368">
        <v>163703662</v>
      </c>
      <c r="T21" s="368">
        <v>340069114</v>
      </c>
      <c r="V21" s="368">
        <v>145609485</v>
      </c>
      <c r="W21" s="368">
        <v>376474997</v>
      </c>
      <c r="X21" s="368">
        <v>154664423</v>
      </c>
      <c r="Y21" s="368">
        <v>364453100</v>
      </c>
      <c r="Z21" s="368">
        <v>301496841</v>
      </c>
      <c r="AA21" s="368">
        <v>117859601</v>
      </c>
      <c r="AB21" s="368">
        <v>103922683</v>
      </c>
      <c r="AC21" s="368">
        <v>110709100</v>
      </c>
      <c r="AD21" s="368">
        <v>396724840</v>
      </c>
      <c r="AE21" s="368">
        <f>Q21+R21+S21+T21+V21+W21+X21+Y21+Z21+AA21+AB21+AC21+AD21</f>
        <v>3118230548</v>
      </c>
      <c r="AI21" s="395"/>
      <c r="AJ21" s="396" t="s">
        <v>248</v>
      </c>
      <c r="AK21" s="397">
        <v>85121200</v>
      </c>
      <c r="AL21" s="398">
        <v>2.0499999999999998</v>
      </c>
      <c r="AM21" s="399" t="e">
        <f t="shared" si="0"/>
        <v>#DIV/0!</v>
      </c>
      <c r="AN21" s="399"/>
    </row>
    <row r="22" spans="1:40" ht="24" customHeight="1">
      <c r="A22" s="381" t="s">
        <v>21</v>
      </c>
      <c r="B22" s="382"/>
      <c r="C22" s="383"/>
      <c r="D22" s="383"/>
      <c r="E22" s="383"/>
      <c r="F22" s="383"/>
      <c r="G22" s="383"/>
      <c r="H22" s="762" t="s">
        <v>207</v>
      </c>
      <c r="I22" s="763"/>
      <c r="J22" s="763"/>
      <c r="K22" s="764"/>
      <c r="L22" s="384"/>
      <c r="M22" s="385"/>
      <c r="P22" s="368" t="s">
        <v>179</v>
      </c>
      <c r="Q22" s="368">
        <v>62767727</v>
      </c>
      <c r="R22" s="368">
        <v>213672936</v>
      </c>
      <c r="S22" s="368">
        <v>25795924</v>
      </c>
      <c r="T22" s="368">
        <v>114556854</v>
      </c>
      <c r="V22" s="368">
        <v>128932639</v>
      </c>
      <c r="W22" s="368">
        <v>336587666</v>
      </c>
      <c r="X22" s="368">
        <v>52373847</v>
      </c>
      <c r="Y22" s="368">
        <v>90762837</v>
      </c>
      <c r="Z22" s="368">
        <v>241819557</v>
      </c>
      <c r="AA22" s="368">
        <v>53872593</v>
      </c>
      <c r="AB22" s="368">
        <v>20156387</v>
      </c>
      <c r="AC22" s="368">
        <v>73919342</v>
      </c>
      <c r="AD22" s="368">
        <v>64957443</v>
      </c>
      <c r="AE22" s="403">
        <f>Q22+R22+S22+T22+V22+W22+X22+Y22+Z22+AA22+AB22+AC22+AD22</f>
        <v>1480175752</v>
      </c>
      <c r="AI22" s="395"/>
      <c r="AJ22" s="396" t="s">
        <v>249</v>
      </c>
      <c r="AK22" s="397">
        <v>115875000</v>
      </c>
      <c r="AL22" s="398">
        <v>0</v>
      </c>
      <c r="AM22" s="399" t="e">
        <f t="shared" si="0"/>
        <v>#DIV/0!</v>
      </c>
      <c r="AN22" s="399"/>
    </row>
    <row r="23" spans="1:40" ht="24" customHeight="1">
      <c r="A23" s="381"/>
      <c r="B23" s="382"/>
      <c r="C23" s="383"/>
      <c r="D23" s="383"/>
      <c r="E23" s="383"/>
      <c r="F23" s="383"/>
      <c r="G23" s="383"/>
      <c r="H23" s="762" t="s">
        <v>299</v>
      </c>
      <c r="I23" s="763"/>
      <c r="J23" s="763"/>
      <c r="K23" s="764"/>
      <c r="L23" s="384"/>
      <c r="M23" s="385"/>
      <c r="P23" s="368" t="s">
        <v>194</v>
      </c>
      <c r="Q23" s="368">
        <v>19.71</v>
      </c>
      <c r="R23" s="368">
        <v>38.619999999999997</v>
      </c>
      <c r="S23" s="368">
        <v>5.8</v>
      </c>
      <c r="T23" s="368">
        <v>21.95</v>
      </c>
      <c r="AE23" s="404">
        <f>(AE22/AE21)*100</f>
        <v>47.468451393030229</v>
      </c>
      <c r="AI23" s="395">
        <v>4</v>
      </c>
      <c r="AJ23" s="396" t="s">
        <v>250</v>
      </c>
      <c r="AK23" s="397">
        <v>1039701600</v>
      </c>
      <c r="AL23" s="398">
        <v>5.62</v>
      </c>
      <c r="AM23" s="399" t="e">
        <f t="shared" si="0"/>
        <v>#DIV/0!</v>
      </c>
      <c r="AN23" s="399">
        <f t="shared" si="1"/>
        <v>5.62</v>
      </c>
    </row>
    <row r="24" spans="1:40" ht="24" customHeight="1">
      <c r="A24" s="381"/>
      <c r="B24" s="382"/>
      <c r="C24" s="383"/>
      <c r="D24" s="383"/>
      <c r="E24" s="383"/>
      <c r="F24" s="383"/>
      <c r="G24" s="383"/>
      <c r="H24" s="577"/>
      <c r="I24" s="400" t="s">
        <v>199</v>
      </c>
      <c r="J24" s="472">
        <v>90.7</v>
      </c>
      <c r="K24" s="573" t="s">
        <v>51</v>
      </c>
      <c r="L24" s="384"/>
      <c r="M24" s="385"/>
      <c r="Q24" s="368">
        <f>(Q21*Q23)/AE21</f>
        <v>0.55767922704283635</v>
      </c>
      <c r="R24" s="368">
        <f>(R21*R23)/AE21</f>
        <v>5.6267926369310901</v>
      </c>
      <c r="S24" s="368">
        <f>(S21*S23)/AE21</f>
        <v>0.3044935982071586</v>
      </c>
      <c r="T24" s="368">
        <f>(T21*T23)/AE21</f>
        <v>2.3938310325026038</v>
      </c>
      <c r="V24" s="368">
        <f>(V21*V23)/AE21</f>
        <v>0</v>
      </c>
      <c r="W24" s="368">
        <f>(W21*W23)/AE21</f>
        <v>0</v>
      </c>
      <c r="X24" s="368">
        <f>(X21*X23)/AE21</f>
        <v>0</v>
      </c>
      <c r="Y24" s="368">
        <f>(Y21*Y23)/AE21</f>
        <v>0</v>
      </c>
      <c r="Z24" s="368">
        <f>(Z21*Z23)/AE21</f>
        <v>0</v>
      </c>
      <c r="AA24" s="368">
        <f>(AA21*AA23)/AE21</f>
        <v>0</v>
      </c>
      <c r="AB24" s="368">
        <f>(AB21*AB23)/AE21</f>
        <v>0</v>
      </c>
      <c r="AC24" s="368">
        <f>(AC21*AC23)/AE21</f>
        <v>0</v>
      </c>
      <c r="AD24" s="368">
        <f>(AD21*AD23)/AE21</f>
        <v>0</v>
      </c>
      <c r="AE24" s="368">
        <f>(Q24+R24+S24+T24+V24+W24+X24+Y24+Z24+AA24+AB24+AC24+AD24)/AE21</f>
        <v>2.8486657281903096E-9</v>
      </c>
      <c r="AI24" s="395">
        <v>5</v>
      </c>
      <c r="AJ24" s="396" t="s">
        <v>251</v>
      </c>
      <c r="AK24" s="397">
        <v>636679600</v>
      </c>
      <c r="AL24" s="398">
        <v>13.07</v>
      </c>
      <c r="AM24" s="399" t="e">
        <f t="shared" si="0"/>
        <v>#DIV/0!</v>
      </c>
      <c r="AN24" s="399">
        <f t="shared" si="1"/>
        <v>13.07</v>
      </c>
    </row>
    <row r="25" spans="1:40" ht="24" customHeight="1">
      <c r="A25" s="507"/>
      <c r="B25" s="508"/>
      <c r="C25" s="509"/>
      <c r="D25" s="509"/>
      <c r="E25" s="509"/>
      <c r="F25" s="509"/>
      <c r="G25" s="509"/>
      <c r="H25" s="511"/>
      <c r="I25" s="512"/>
      <c r="J25" s="513"/>
      <c r="K25" s="514"/>
      <c r="L25" s="510"/>
      <c r="M25" s="376"/>
      <c r="S25" s="368">
        <v>278676</v>
      </c>
      <c r="AI25" s="395">
        <v>8</v>
      </c>
      <c r="AJ25" s="396" t="s">
        <v>252</v>
      </c>
      <c r="AK25" s="397">
        <v>168866326</v>
      </c>
      <c r="AL25" s="398">
        <v>25.53</v>
      </c>
      <c r="AM25" s="399" t="e">
        <f t="shared" si="0"/>
        <v>#DIV/0!</v>
      </c>
      <c r="AN25" s="399">
        <f t="shared" si="1"/>
        <v>25.529999999999998</v>
      </c>
    </row>
    <row r="26" spans="1:40" ht="24" customHeight="1">
      <c r="A26" s="379" t="s">
        <v>146</v>
      </c>
      <c r="B26" s="302">
        <v>5.45</v>
      </c>
      <c r="C26" s="405">
        <v>0.92</v>
      </c>
      <c r="D26" s="405">
        <v>0.94</v>
      </c>
      <c r="E26" s="405">
        <v>0.96</v>
      </c>
      <c r="F26" s="405">
        <v>0.98</v>
      </c>
      <c r="G26" s="405">
        <v>1</v>
      </c>
      <c r="H26" s="738" t="s">
        <v>312</v>
      </c>
      <c r="I26" s="739"/>
      <c r="J26" s="739"/>
      <c r="K26" s="740"/>
      <c r="L26" s="303">
        <v>5</v>
      </c>
      <c r="M26" s="380">
        <f>IF(L26=0,"-",ROUND(L26*B26/B$75,4))</f>
        <v>0.28820000000000001</v>
      </c>
      <c r="S26" s="368">
        <v>6516821</v>
      </c>
      <c r="AI26" s="395">
        <v>9</v>
      </c>
      <c r="AJ26" s="396" t="s">
        <v>253</v>
      </c>
      <c r="AK26" s="397">
        <v>189999700</v>
      </c>
      <c r="AL26" s="398">
        <v>3.53</v>
      </c>
      <c r="AM26" s="399" t="e">
        <f t="shared" si="0"/>
        <v>#DIV/0!</v>
      </c>
      <c r="AN26" s="399">
        <f>(AL26*AK26/(AK26+AK27+AK28))+(AL27*AK27/(AK26+AK27+AK28))+(AL28*AK28/(AK26+AK27+AK28))</f>
        <v>17.929695702793666</v>
      </c>
    </row>
    <row r="27" spans="1:40" ht="24" customHeight="1">
      <c r="A27" s="381" t="s">
        <v>23</v>
      </c>
      <c r="B27" s="382"/>
      <c r="C27" s="383"/>
      <c r="D27" s="383"/>
      <c r="E27" s="383"/>
      <c r="F27" s="383"/>
      <c r="G27" s="383"/>
      <c r="H27" s="762" t="s">
        <v>313</v>
      </c>
      <c r="I27" s="763"/>
      <c r="J27" s="763"/>
      <c r="K27" s="764"/>
      <c r="L27" s="384"/>
      <c r="M27" s="385"/>
      <c r="S27" s="368">
        <v>59800</v>
      </c>
      <c r="AI27" s="395"/>
      <c r="AJ27" s="396" t="s">
        <v>254</v>
      </c>
      <c r="AK27" s="397">
        <v>93741300</v>
      </c>
      <c r="AL27" s="398">
        <v>63.29</v>
      </c>
      <c r="AM27" s="399" t="e">
        <f t="shared" si="0"/>
        <v>#DIV/0!</v>
      </c>
      <c r="AN27" s="399"/>
    </row>
    <row r="28" spans="1:40" ht="24" customHeight="1">
      <c r="A28" s="381" t="s">
        <v>24</v>
      </c>
      <c r="B28" s="382"/>
      <c r="C28" s="383"/>
      <c r="D28" s="383"/>
      <c r="E28" s="383"/>
      <c r="F28" s="383"/>
      <c r="G28" s="383"/>
      <c r="H28" s="762" t="s">
        <v>272</v>
      </c>
      <c r="I28" s="763"/>
      <c r="J28" s="763"/>
      <c r="K28" s="764"/>
      <c r="L28" s="384"/>
      <c r="M28" s="385"/>
      <c r="S28" s="368">
        <v>709266</v>
      </c>
      <c r="AI28" s="395"/>
      <c r="AJ28" s="396" t="s">
        <v>255</v>
      </c>
      <c r="AK28" s="397">
        <v>84563400</v>
      </c>
      <c r="AL28" s="398">
        <v>0</v>
      </c>
      <c r="AM28" s="399" t="e">
        <f t="shared" si="0"/>
        <v>#DIV/0!</v>
      </c>
      <c r="AN28" s="399"/>
    </row>
    <row r="29" spans="1:40" ht="24" customHeight="1">
      <c r="A29" s="381"/>
      <c r="B29" s="382"/>
      <c r="C29" s="383"/>
      <c r="D29" s="383"/>
      <c r="E29" s="383"/>
      <c r="F29" s="383"/>
      <c r="G29" s="383"/>
      <c r="H29" s="577" t="s">
        <v>200</v>
      </c>
      <c r="I29" s="400" t="s">
        <v>56</v>
      </c>
      <c r="J29" s="472">
        <v>100</v>
      </c>
      <c r="K29" s="573" t="s">
        <v>51</v>
      </c>
      <c r="L29" s="384"/>
      <c r="M29" s="385"/>
      <c r="S29" s="368">
        <v>10951834</v>
      </c>
      <c r="W29" s="368">
        <v>304044</v>
      </c>
      <c r="X29" s="368">
        <v>12443540</v>
      </c>
      <c r="Z29" s="368">
        <v>12690293</v>
      </c>
      <c r="AD29" s="368">
        <v>16191016</v>
      </c>
      <c r="AI29" s="395">
        <v>10</v>
      </c>
      <c r="AJ29" s="396" t="s">
        <v>256</v>
      </c>
      <c r="AK29" s="397">
        <v>305794900</v>
      </c>
      <c r="AL29" s="398">
        <v>18.23</v>
      </c>
      <c r="AM29" s="399" t="e">
        <f t="shared" si="0"/>
        <v>#DIV/0!</v>
      </c>
      <c r="AN29" s="399">
        <f>(AL29*AK29/AK29)</f>
        <v>18.23</v>
      </c>
    </row>
    <row r="30" spans="1:40" ht="24" customHeight="1">
      <c r="A30" s="381"/>
      <c r="B30" s="382"/>
      <c r="C30" s="383"/>
      <c r="D30" s="383"/>
      <c r="E30" s="383"/>
      <c r="F30" s="383"/>
      <c r="G30" s="383"/>
      <c r="H30" s="424"/>
      <c r="I30" s="425"/>
      <c r="J30" s="425"/>
      <c r="K30" s="426"/>
      <c r="L30" s="384"/>
      <c r="M30" s="385"/>
      <c r="AI30" s="395"/>
      <c r="AJ30" s="396" t="s">
        <v>257</v>
      </c>
      <c r="AK30" s="397">
        <v>391412000</v>
      </c>
      <c r="AL30" s="398">
        <v>0</v>
      </c>
      <c r="AM30" s="399" t="e">
        <f t="shared" si="0"/>
        <v>#DIV/0!</v>
      </c>
      <c r="AN30" s="399"/>
    </row>
    <row r="31" spans="1:40" ht="24" customHeight="1">
      <c r="A31" s="379" t="s">
        <v>148</v>
      </c>
      <c r="B31" s="302">
        <v>5.45</v>
      </c>
      <c r="C31" s="405">
        <v>0.96</v>
      </c>
      <c r="D31" s="405">
        <v>0.97</v>
      </c>
      <c r="E31" s="405">
        <v>0.98</v>
      </c>
      <c r="F31" s="405">
        <v>0.99</v>
      </c>
      <c r="G31" s="405">
        <v>1</v>
      </c>
      <c r="H31" s="779" t="s">
        <v>323</v>
      </c>
      <c r="I31" s="780"/>
      <c r="J31" s="780"/>
      <c r="K31" s="781"/>
      <c r="L31" s="303">
        <v>5</v>
      </c>
      <c r="M31" s="380">
        <f>IF(L31=0,"-",ROUND(L31*B31/B$75,4))</f>
        <v>0.28820000000000001</v>
      </c>
      <c r="S31" s="368">
        <v>59800</v>
      </c>
      <c r="AI31" s="430"/>
      <c r="AJ31" s="431"/>
      <c r="AK31" s="432"/>
      <c r="AL31" s="433"/>
      <c r="AM31" s="434"/>
      <c r="AN31" s="434"/>
    </row>
    <row r="32" spans="1:40" ht="24" customHeight="1">
      <c r="A32" s="381" t="s">
        <v>28</v>
      </c>
      <c r="B32" s="382"/>
      <c r="C32" s="383"/>
      <c r="D32" s="383"/>
      <c r="E32" s="383"/>
      <c r="F32" s="383"/>
      <c r="G32" s="383"/>
      <c r="H32" s="762" t="s">
        <v>324</v>
      </c>
      <c r="I32" s="763"/>
      <c r="J32" s="763"/>
      <c r="K32" s="764"/>
      <c r="L32" s="384"/>
      <c r="M32" s="385"/>
      <c r="S32" s="368">
        <v>921324</v>
      </c>
      <c r="AI32" s="430"/>
      <c r="AJ32" s="431"/>
      <c r="AK32" s="432"/>
      <c r="AL32" s="433"/>
      <c r="AM32" s="434"/>
      <c r="AN32" s="434"/>
    </row>
    <row r="33" spans="1:40" ht="24" customHeight="1">
      <c r="A33" s="381" t="s">
        <v>60</v>
      </c>
      <c r="B33" s="382"/>
      <c r="C33" s="383"/>
      <c r="D33" s="383"/>
      <c r="E33" s="383"/>
      <c r="F33" s="383"/>
      <c r="G33" s="383"/>
      <c r="H33" s="762" t="s">
        <v>325</v>
      </c>
      <c r="I33" s="763"/>
      <c r="J33" s="763"/>
      <c r="K33" s="764"/>
      <c r="L33" s="384"/>
      <c r="M33" s="385"/>
      <c r="S33" s="368">
        <v>278675</v>
      </c>
      <c r="AI33" s="447" t="s">
        <v>263</v>
      </c>
      <c r="AJ33" s="435" t="s">
        <v>14</v>
      </c>
      <c r="AK33" s="436" t="s">
        <v>264</v>
      </c>
      <c r="AL33" s="437" t="s">
        <v>86</v>
      </c>
      <c r="AM33" s="438"/>
      <c r="AN33" s="438" t="s">
        <v>265</v>
      </c>
    </row>
    <row r="34" spans="1:40" ht="24" customHeight="1">
      <c r="A34" s="381"/>
      <c r="B34" s="382"/>
      <c r="C34" s="383"/>
      <c r="D34" s="383"/>
      <c r="E34" s="383"/>
      <c r="F34" s="383"/>
      <c r="G34" s="383"/>
      <c r="H34" s="577"/>
      <c r="I34" s="400" t="s">
        <v>66</v>
      </c>
      <c r="J34" s="591">
        <v>4</v>
      </c>
      <c r="K34" s="578" t="s">
        <v>61</v>
      </c>
      <c r="L34" s="384"/>
      <c r="M34" s="385"/>
      <c r="S34" s="368">
        <v>250781</v>
      </c>
      <c r="AI34" s="439">
        <v>2</v>
      </c>
      <c r="AJ34" s="440" t="s">
        <v>266</v>
      </c>
      <c r="AK34" s="441">
        <v>300000</v>
      </c>
      <c r="AL34" s="442">
        <v>25981.55</v>
      </c>
      <c r="AM34" s="443"/>
      <c r="AN34" s="443">
        <f>AL34*100/AK34</f>
        <v>8.6605166666666662</v>
      </c>
    </row>
    <row r="35" spans="1:40" ht="24" customHeight="1">
      <c r="A35" s="381"/>
      <c r="B35" s="382"/>
      <c r="C35" s="383"/>
      <c r="D35" s="383"/>
      <c r="E35" s="383"/>
      <c r="F35" s="383"/>
      <c r="G35" s="383"/>
      <c r="H35" s="577"/>
      <c r="I35" s="400" t="s">
        <v>67</v>
      </c>
      <c r="J35" s="591">
        <v>4</v>
      </c>
      <c r="K35" s="578" t="s">
        <v>61</v>
      </c>
      <c r="L35" s="384"/>
      <c r="M35" s="385"/>
      <c r="S35" s="368">
        <v>39205</v>
      </c>
      <c r="AI35" s="395">
        <v>3</v>
      </c>
      <c r="AJ35" s="396" t="s">
        <v>267</v>
      </c>
      <c r="AK35" s="397">
        <v>300000</v>
      </c>
      <c r="AL35" s="410">
        <v>26160</v>
      </c>
      <c r="AM35" s="411"/>
      <c r="AN35" s="411">
        <f t="shared" ref="AN35:AN48" si="2">AL35*100/AK35</f>
        <v>8.7200000000000006</v>
      </c>
    </row>
    <row r="36" spans="1:40" ht="24" customHeight="1">
      <c r="A36" s="381"/>
      <c r="B36" s="382"/>
      <c r="C36" s="383"/>
      <c r="D36" s="383"/>
      <c r="E36" s="383"/>
      <c r="F36" s="383"/>
      <c r="G36" s="383"/>
      <c r="H36" s="571"/>
      <c r="I36" s="400" t="s">
        <v>81</v>
      </c>
      <c r="J36" s="532">
        <f>J35*100/J34</f>
        <v>100</v>
      </c>
      <c r="K36" s="573" t="s">
        <v>51</v>
      </c>
      <c r="L36" s="384"/>
      <c r="M36" s="385"/>
      <c r="AI36" s="395">
        <v>4</v>
      </c>
      <c r="AJ36" s="396" t="s">
        <v>268</v>
      </c>
      <c r="AK36" s="397">
        <v>500000</v>
      </c>
      <c r="AL36" s="410">
        <v>166219.85</v>
      </c>
      <c r="AM36" s="411"/>
      <c r="AN36" s="411">
        <f t="shared" si="2"/>
        <v>33.243969999999997</v>
      </c>
    </row>
    <row r="37" spans="1:40" ht="24" customHeight="1">
      <c r="A37" s="507"/>
      <c r="B37" s="508"/>
      <c r="C37" s="509"/>
      <c r="D37" s="509"/>
      <c r="E37" s="509"/>
      <c r="F37" s="509"/>
      <c r="G37" s="509"/>
      <c r="H37" s="773"/>
      <c r="I37" s="769"/>
      <c r="J37" s="769"/>
      <c r="K37" s="770"/>
      <c r="L37" s="510"/>
      <c r="M37" s="376"/>
      <c r="AI37" s="395">
        <v>6</v>
      </c>
      <c r="AJ37" s="396" t="s">
        <v>269</v>
      </c>
      <c r="AK37" s="397">
        <v>300000</v>
      </c>
      <c r="AL37" s="410">
        <v>49020</v>
      </c>
      <c r="AM37" s="411"/>
      <c r="AN37" s="411">
        <f t="shared" si="2"/>
        <v>16.34</v>
      </c>
    </row>
    <row r="38" spans="1:40" ht="24" customHeight="1">
      <c r="A38" s="379" t="s">
        <v>160</v>
      </c>
      <c r="B38" s="302">
        <v>5.45</v>
      </c>
      <c r="C38" s="405">
        <v>0.5</v>
      </c>
      <c r="D38" s="405">
        <v>0.75</v>
      </c>
      <c r="E38" s="405">
        <v>1</v>
      </c>
      <c r="F38" s="405">
        <v>1</v>
      </c>
      <c r="G38" s="405">
        <v>1</v>
      </c>
      <c r="H38" s="738" t="s">
        <v>309</v>
      </c>
      <c r="I38" s="739"/>
      <c r="J38" s="739"/>
      <c r="K38" s="740"/>
      <c r="L38" s="303">
        <v>5</v>
      </c>
      <c r="M38" s="380">
        <f>IF(L38=0,"-",ROUND(L38*B38/B$75,4))</f>
        <v>0.28820000000000001</v>
      </c>
      <c r="AI38" s="395">
        <v>9</v>
      </c>
      <c r="AJ38" s="396" t="s">
        <v>271</v>
      </c>
      <c r="AK38" s="397">
        <v>300000</v>
      </c>
      <c r="AL38" s="410">
        <v>0</v>
      </c>
      <c r="AM38" s="411"/>
      <c r="AN38" s="411">
        <f t="shared" si="2"/>
        <v>0</v>
      </c>
    </row>
    <row r="39" spans="1:40" ht="24" customHeight="1">
      <c r="A39" s="381" t="s">
        <v>161</v>
      </c>
      <c r="B39" s="515"/>
      <c r="C39" s="516"/>
      <c r="D39" s="516"/>
      <c r="E39" s="516"/>
      <c r="F39" s="516" t="s">
        <v>70</v>
      </c>
      <c r="G39" s="516" t="s">
        <v>70</v>
      </c>
      <c r="H39" s="763" t="s">
        <v>213</v>
      </c>
      <c r="I39" s="763"/>
      <c r="J39" s="763"/>
      <c r="K39" s="764"/>
      <c r="L39" s="384"/>
      <c r="M39" s="385"/>
      <c r="AI39" s="395">
        <v>11</v>
      </c>
      <c r="AJ39" s="396" t="s">
        <v>273</v>
      </c>
      <c r="AK39" s="397">
        <v>500000</v>
      </c>
      <c r="AL39" s="410">
        <v>62536.11</v>
      </c>
      <c r="AM39" s="411"/>
      <c r="AN39" s="411">
        <f t="shared" si="2"/>
        <v>12.507222000000001</v>
      </c>
    </row>
    <row r="40" spans="1:40" ht="24" customHeight="1">
      <c r="A40" s="381" t="s">
        <v>310</v>
      </c>
      <c r="B40" s="515"/>
      <c r="C40" s="516"/>
      <c r="D40" s="516"/>
      <c r="E40" s="516"/>
      <c r="F40" s="516" t="s">
        <v>138</v>
      </c>
      <c r="G40" s="516" t="s">
        <v>139</v>
      </c>
      <c r="H40" s="577" t="s">
        <v>200</v>
      </c>
      <c r="I40" s="400" t="s">
        <v>56</v>
      </c>
      <c r="J40" s="472">
        <v>100</v>
      </c>
      <c r="K40" s="573" t="s">
        <v>51</v>
      </c>
      <c r="L40" s="384"/>
      <c r="M40" s="385"/>
      <c r="AI40" s="395"/>
      <c r="AJ40" s="396" t="s">
        <v>275</v>
      </c>
      <c r="AK40" s="397">
        <v>300000</v>
      </c>
      <c r="AL40" s="410">
        <v>57903.85</v>
      </c>
      <c r="AM40" s="411"/>
      <c r="AN40" s="411">
        <f t="shared" si="2"/>
        <v>19.301283333333334</v>
      </c>
    </row>
    <row r="41" spans="1:40" ht="24" customHeight="1">
      <c r="A41" s="507"/>
      <c r="B41" s="508"/>
      <c r="C41" s="509"/>
      <c r="D41" s="509"/>
      <c r="E41" s="509"/>
      <c r="F41" s="509"/>
      <c r="G41" s="509"/>
      <c r="H41" s="773"/>
      <c r="I41" s="774"/>
      <c r="J41" s="774"/>
      <c r="K41" s="775"/>
      <c r="L41" s="510"/>
      <c r="M41" s="376"/>
      <c r="AI41" s="395"/>
      <c r="AJ41" s="396" t="s">
        <v>276</v>
      </c>
      <c r="AK41" s="397">
        <v>300000</v>
      </c>
      <c r="AL41" s="410">
        <v>94848.7</v>
      </c>
      <c r="AM41" s="411"/>
      <c r="AN41" s="411">
        <f t="shared" si="2"/>
        <v>31.616233333333334</v>
      </c>
    </row>
    <row r="42" spans="1:40" ht="24" customHeight="1">
      <c r="A42" s="379" t="s">
        <v>149</v>
      </c>
      <c r="B42" s="302">
        <v>16.36</v>
      </c>
      <c r="C42" s="405">
        <v>0.75</v>
      </c>
      <c r="D42" s="405">
        <v>0.78</v>
      </c>
      <c r="E42" s="405">
        <v>0.81</v>
      </c>
      <c r="F42" s="405">
        <v>0.84</v>
      </c>
      <c r="G42" s="405">
        <v>0.87</v>
      </c>
      <c r="H42" s="738" t="s">
        <v>303</v>
      </c>
      <c r="I42" s="739"/>
      <c r="J42" s="739"/>
      <c r="K42" s="740"/>
      <c r="L42" s="303">
        <v>4.45</v>
      </c>
      <c r="M42" s="380">
        <f>IF(L42=0,"-",ROUND(L42*B42/B$75,4))</f>
        <v>0.77</v>
      </c>
      <c r="AI42" s="395">
        <v>13</v>
      </c>
      <c r="AJ42" s="396" t="s">
        <v>281</v>
      </c>
      <c r="AK42" s="397">
        <v>300000</v>
      </c>
      <c r="AL42" s="410">
        <v>205897.2</v>
      </c>
      <c r="AM42" s="411"/>
      <c r="AN42" s="411">
        <f t="shared" si="2"/>
        <v>68.632400000000004</v>
      </c>
    </row>
    <row r="43" spans="1:40" ht="24" customHeight="1">
      <c r="A43" s="381" t="s">
        <v>137</v>
      </c>
      <c r="B43" s="382"/>
      <c r="C43" s="383"/>
      <c r="D43" s="383"/>
      <c r="E43" s="383"/>
      <c r="F43" s="383"/>
      <c r="G43" s="383"/>
      <c r="H43" s="762" t="s">
        <v>272</v>
      </c>
      <c r="I43" s="763"/>
      <c r="J43" s="763"/>
      <c r="K43" s="764"/>
      <c r="L43" s="384"/>
      <c r="M43" s="385"/>
      <c r="AI43" s="395"/>
      <c r="AJ43" s="396" t="s">
        <v>282</v>
      </c>
      <c r="AK43" s="397">
        <v>300000</v>
      </c>
      <c r="AL43" s="410">
        <v>100339.9</v>
      </c>
      <c r="AM43" s="411"/>
      <c r="AN43" s="411">
        <f t="shared" si="2"/>
        <v>33.446633333333331</v>
      </c>
    </row>
    <row r="44" spans="1:40" ht="24" customHeight="1">
      <c r="A44" s="381"/>
      <c r="B44" s="382"/>
      <c r="C44" s="383"/>
      <c r="D44" s="383"/>
      <c r="E44" s="383"/>
      <c r="F44" s="383"/>
      <c r="G44" s="383"/>
      <c r="H44" s="589"/>
      <c r="I44" s="400" t="s">
        <v>87</v>
      </c>
      <c r="J44" s="590">
        <v>135129200</v>
      </c>
      <c r="K44" s="573" t="s">
        <v>163</v>
      </c>
      <c r="L44" s="384"/>
      <c r="M44" s="385"/>
      <c r="AI44" s="395"/>
      <c r="AJ44" s="396" t="s">
        <v>283</v>
      </c>
      <c r="AK44" s="397">
        <v>300000</v>
      </c>
      <c r="AL44" s="410">
        <v>57000</v>
      </c>
      <c r="AM44" s="411"/>
      <c r="AN44" s="411">
        <f t="shared" si="2"/>
        <v>19</v>
      </c>
    </row>
    <row r="45" spans="1:40" ht="24" customHeight="1">
      <c r="A45" s="381"/>
      <c r="B45" s="382"/>
      <c r="C45" s="383"/>
      <c r="D45" s="383"/>
      <c r="E45" s="383"/>
      <c r="F45" s="383"/>
      <c r="G45" s="383"/>
      <c r="H45" s="589"/>
      <c r="I45" s="400" t="s">
        <v>195</v>
      </c>
      <c r="J45" s="591">
        <v>135129200</v>
      </c>
      <c r="K45" s="573" t="s">
        <v>163</v>
      </c>
      <c r="L45" s="384"/>
      <c r="M45" s="385"/>
      <c r="AI45" s="395"/>
      <c r="AJ45" s="396" t="s">
        <v>284</v>
      </c>
      <c r="AK45" s="397">
        <v>300000</v>
      </c>
      <c r="AL45" s="410">
        <v>54914.85</v>
      </c>
      <c r="AM45" s="411"/>
      <c r="AN45" s="411">
        <f t="shared" si="2"/>
        <v>18.304950000000002</v>
      </c>
    </row>
    <row r="46" spans="1:40" ht="24" customHeight="1">
      <c r="A46" s="381"/>
      <c r="B46" s="382"/>
      <c r="C46" s="383"/>
      <c r="D46" s="383"/>
      <c r="E46" s="383"/>
      <c r="F46" s="383"/>
      <c r="G46" s="383"/>
      <c r="H46" s="589"/>
      <c r="I46" s="400" t="s">
        <v>196</v>
      </c>
      <c r="J46" s="472">
        <v>85.35</v>
      </c>
      <c r="K46" s="573" t="s">
        <v>51</v>
      </c>
      <c r="L46" s="384"/>
      <c r="M46" s="385"/>
      <c r="AI46" s="395"/>
      <c r="AJ46" s="396" t="s">
        <v>285</v>
      </c>
      <c r="AK46" s="397">
        <v>300000</v>
      </c>
      <c r="AL46" s="410">
        <v>66279.649999999994</v>
      </c>
      <c r="AM46" s="411"/>
      <c r="AN46" s="411">
        <f t="shared" si="2"/>
        <v>22.093216666666663</v>
      </c>
    </row>
    <row r="47" spans="1:40" ht="24" customHeight="1">
      <c r="A47" s="507"/>
      <c r="B47" s="508"/>
      <c r="C47" s="509"/>
      <c r="D47" s="509"/>
      <c r="E47" s="509"/>
      <c r="F47" s="509"/>
      <c r="G47" s="509"/>
      <c r="H47" s="592"/>
      <c r="I47" s="587"/>
      <c r="J47" s="593"/>
      <c r="K47" s="588"/>
      <c r="L47" s="510"/>
      <c r="M47" s="376"/>
      <c r="AI47" s="395"/>
      <c r="AJ47" s="396" t="s">
        <v>286</v>
      </c>
      <c r="AK47" s="397">
        <v>500000</v>
      </c>
      <c r="AL47" s="410">
        <v>147338.20000000001</v>
      </c>
      <c r="AM47" s="411"/>
      <c r="AN47" s="411">
        <f t="shared" si="2"/>
        <v>29.467640000000003</v>
      </c>
    </row>
    <row r="48" spans="1:40" ht="24" customHeight="1">
      <c r="A48" s="379" t="s">
        <v>150</v>
      </c>
      <c r="B48" s="302">
        <v>1.87</v>
      </c>
      <c r="C48" s="405">
        <v>0.6</v>
      </c>
      <c r="D48" s="405">
        <v>0.65</v>
      </c>
      <c r="E48" s="405">
        <v>0.7</v>
      </c>
      <c r="F48" s="405">
        <v>0.75</v>
      </c>
      <c r="G48" s="405">
        <v>0.8</v>
      </c>
      <c r="H48" s="738" t="s">
        <v>222</v>
      </c>
      <c r="I48" s="739"/>
      <c r="J48" s="739"/>
      <c r="K48" s="740"/>
      <c r="L48" s="303">
        <v>5</v>
      </c>
      <c r="M48" s="380">
        <f>IF(L48=0,"-",ROUND(L48*B48/B$75,4))</f>
        <v>9.8900000000000002E-2</v>
      </c>
      <c r="AI48" s="395"/>
      <c r="AJ48" s="396" t="s">
        <v>277</v>
      </c>
      <c r="AK48" s="397">
        <v>500000</v>
      </c>
      <c r="AL48" s="410">
        <v>150000</v>
      </c>
      <c r="AM48" s="411"/>
      <c r="AN48" s="411">
        <f t="shared" si="2"/>
        <v>30</v>
      </c>
    </row>
    <row r="49" spans="1:40" ht="24" customHeight="1">
      <c r="A49" s="381" t="s">
        <v>151</v>
      </c>
      <c r="B49" s="515"/>
      <c r="C49" s="594"/>
      <c r="D49" s="594"/>
      <c r="E49" s="594"/>
      <c r="F49" s="594"/>
      <c r="G49" s="594"/>
      <c r="H49" s="762" t="s">
        <v>223</v>
      </c>
      <c r="I49" s="763"/>
      <c r="J49" s="763"/>
      <c r="K49" s="764"/>
      <c r="L49" s="384"/>
      <c r="M49" s="385"/>
      <c r="AI49" s="395"/>
      <c r="AJ49" s="396"/>
      <c r="AK49" s="397" t="e">
        <f>AK34+AK35+AK36+#REF!+AK37+AK38+AK39+AK40+#REF!+AK41+AK42+AK43+AK44+AK45+AK46+AK47+AK48</f>
        <v>#REF!</v>
      </c>
      <c r="AL49" s="410" t="e">
        <f>AL34+AL35+AL36+#REF!+AL37+AL38+AL39+AL40+#REF!+AL41+AL42+AL43+AL44+AL45+AL46+AL47+AL48</f>
        <v>#REF!</v>
      </c>
      <c r="AM49" s="411"/>
      <c r="AN49" s="411" t="e">
        <f>AL49*100/AK49</f>
        <v>#REF!</v>
      </c>
    </row>
    <row r="50" spans="1:40" ht="24" customHeight="1">
      <c r="A50" s="381" t="s">
        <v>91</v>
      </c>
      <c r="B50" s="382"/>
      <c r="C50" s="383"/>
      <c r="D50" s="383"/>
      <c r="E50" s="383"/>
      <c r="F50" s="383"/>
      <c r="G50" s="383"/>
      <c r="H50" s="762" t="s">
        <v>224</v>
      </c>
      <c r="I50" s="763"/>
      <c r="J50" s="763"/>
      <c r="K50" s="764"/>
      <c r="L50" s="384"/>
      <c r="M50" s="385"/>
    </row>
    <row r="51" spans="1:40" ht="24" customHeight="1">
      <c r="A51" s="381"/>
      <c r="B51" s="382"/>
      <c r="C51" s="383"/>
      <c r="D51" s="383"/>
      <c r="E51" s="383"/>
      <c r="F51" s="383"/>
      <c r="G51" s="383"/>
      <c r="H51" s="577"/>
      <c r="I51" s="400" t="s">
        <v>97</v>
      </c>
      <c r="J51" s="591">
        <v>271</v>
      </c>
      <c r="K51" s="578" t="s">
        <v>96</v>
      </c>
      <c r="L51" s="384"/>
      <c r="M51" s="385"/>
    </row>
    <row r="52" spans="1:40" ht="24" customHeight="1">
      <c r="A52" s="381"/>
      <c r="B52" s="382"/>
      <c r="C52" s="383"/>
      <c r="D52" s="383"/>
      <c r="E52" s="383"/>
      <c r="F52" s="383"/>
      <c r="G52" s="383"/>
      <c r="H52" s="577"/>
      <c r="I52" s="400" t="s">
        <v>98</v>
      </c>
      <c r="J52" s="591">
        <v>271</v>
      </c>
      <c r="K52" s="578" t="s">
        <v>96</v>
      </c>
      <c r="L52" s="384"/>
      <c r="M52" s="385"/>
    </row>
    <row r="53" spans="1:40" ht="24" customHeight="1">
      <c r="A53" s="381"/>
      <c r="B53" s="382"/>
      <c r="C53" s="383"/>
      <c r="D53" s="383"/>
      <c r="E53" s="383"/>
      <c r="F53" s="383"/>
      <c r="G53" s="383"/>
      <c r="H53" s="571"/>
      <c r="I53" s="400" t="s">
        <v>35</v>
      </c>
      <c r="J53" s="486">
        <f>ROUND(J52*100/J51,2)</f>
        <v>100</v>
      </c>
      <c r="K53" s="573" t="s">
        <v>51</v>
      </c>
      <c r="L53" s="384"/>
      <c r="M53" s="385"/>
    </row>
    <row r="54" spans="1:40" ht="24" customHeight="1">
      <c r="A54" s="507"/>
      <c r="B54" s="508"/>
      <c r="C54" s="509"/>
      <c r="D54" s="509"/>
      <c r="E54" s="509"/>
      <c r="F54" s="509"/>
      <c r="G54" s="509"/>
      <c r="H54" s="595"/>
      <c r="I54" s="596"/>
      <c r="J54" s="596"/>
      <c r="K54" s="574"/>
      <c r="L54" s="510"/>
      <c r="M54" s="376"/>
    </row>
    <row r="55" spans="1:40" ht="24" customHeight="1">
      <c r="A55" s="597" t="s">
        <v>152</v>
      </c>
      <c r="B55" s="490">
        <v>5.45</v>
      </c>
      <c r="C55" s="598">
        <v>0.65</v>
      </c>
      <c r="D55" s="598">
        <v>0.7</v>
      </c>
      <c r="E55" s="598">
        <v>0.75</v>
      </c>
      <c r="F55" s="598">
        <v>0.8</v>
      </c>
      <c r="G55" s="598">
        <v>0.85</v>
      </c>
      <c r="H55" s="738" t="s">
        <v>225</v>
      </c>
      <c r="I55" s="739"/>
      <c r="J55" s="739"/>
      <c r="K55" s="740"/>
      <c r="L55" s="303">
        <v>4.7939999999999996</v>
      </c>
      <c r="M55" s="380">
        <f>IF(L55=0,"-",ROUND(L55*B55/B$75,4))</f>
        <v>0.27629999999999999</v>
      </c>
    </row>
    <row r="56" spans="1:40" ht="24" customHeight="1">
      <c r="A56" s="381" t="s">
        <v>153</v>
      </c>
      <c r="B56" s="382"/>
      <c r="C56" s="383"/>
      <c r="D56" s="383"/>
      <c r="E56" s="383"/>
      <c r="F56" s="383"/>
      <c r="G56" s="383"/>
      <c r="H56" s="762" t="s">
        <v>226</v>
      </c>
      <c r="I56" s="763"/>
      <c r="J56" s="763"/>
      <c r="K56" s="764"/>
      <c r="L56" s="384"/>
      <c r="M56" s="385"/>
    </row>
    <row r="57" spans="1:40" ht="24" customHeight="1">
      <c r="A57" s="599" t="s">
        <v>162</v>
      </c>
      <c r="B57" s="382"/>
      <c r="C57" s="383"/>
      <c r="D57" s="383"/>
      <c r="E57" s="383"/>
      <c r="F57" s="383"/>
      <c r="G57" s="383"/>
      <c r="H57" s="577" t="s">
        <v>200</v>
      </c>
      <c r="I57" s="600" t="s">
        <v>113</v>
      </c>
      <c r="J57" s="486">
        <v>83.97</v>
      </c>
      <c r="K57" s="573" t="s">
        <v>51</v>
      </c>
      <c r="L57" s="384"/>
      <c r="M57" s="385"/>
    </row>
    <row r="58" spans="1:40" ht="24" customHeight="1">
      <c r="A58" s="381"/>
      <c r="B58" s="382"/>
      <c r="C58" s="383"/>
      <c r="D58" s="383"/>
      <c r="E58" s="383"/>
      <c r="F58" s="383"/>
      <c r="G58" s="517"/>
      <c r="H58" s="601"/>
      <c r="I58" s="601"/>
      <c r="J58" s="601"/>
      <c r="K58" s="601"/>
      <c r="L58" s="384"/>
      <c r="M58" s="385"/>
    </row>
    <row r="59" spans="1:40" ht="24" customHeight="1">
      <c r="A59" s="379" t="s">
        <v>154</v>
      </c>
      <c r="B59" s="490">
        <v>5.45</v>
      </c>
      <c r="C59" s="496" t="s">
        <v>29</v>
      </c>
      <c r="D59" s="496" t="s">
        <v>30</v>
      </c>
      <c r="E59" s="496" t="s">
        <v>31</v>
      </c>
      <c r="F59" s="496" t="s">
        <v>32</v>
      </c>
      <c r="G59" s="496" t="s">
        <v>33</v>
      </c>
      <c r="H59" s="738" t="s">
        <v>227</v>
      </c>
      <c r="I59" s="739"/>
      <c r="J59" s="739"/>
      <c r="K59" s="740"/>
      <c r="L59" s="303">
        <v>1</v>
      </c>
      <c r="M59" s="380">
        <f>IF(L59=0,"-",ROUND(L59*B59/B$75,4))</f>
        <v>5.7599999999999998E-2</v>
      </c>
    </row>
    <row r="60" spans="1:40" ht="24" customHeight="1">
      <c r="A60" s="381" t="s">
        <v>107</v>
      </c>
      <c r="B60" s="382"/>
      <c r="C60" s="497">
        <v>1.5</v>
      </c>
      <c r="D60" s="497">
        <v>2</v>
      </c>
      <c r="E60" s="497">
        <v>2.5</v>
      </c>
      <c r="F60" s="497">
        <v>3</v>
      </c>
      <c r="G60" s="497">
        <v>5</v>
      </c>
      <c r="H60" s="762" t="s">
        <v>228</v>
      </c>
      <c r="I60" s="763"/>
      <c r="J60" s="763"/>
      <c r="K60" s="764"/>
      <c r="L60" s="384"/>
      <c r="M60" s="385"/>
    </row>
    <row r="61" spans="1:40" ht="24" customHeight="1">
      <c r="A61" s="381" t="s">
        <v>310</v>
      </c>
      <c r="B61" s="382"/>
      <c r="C61" s="517"/>
      <c r="D61" s="517"/>
      <c r="E61" s="517"/>
      <c r="F61" s="517"/>
      <c r="G61" s="517"/>
      <c r="H61" s="762" t="s">
        <v>213</v>
      </c>
      <c r="I61" s="763"/>
      <c r="J61" s="763"/>
      <c r="K61" s="764"/>
      <c r="L61" s="384"/>
      <c r="M61" s="385"/>
    </row>
    <row r="62" spans="1:40" ht="24" customHeight="1">
      <c r="A62" s="381"/>
      <c r="B62" s="382"/>
      <c r="C62" s="517"/>
      <c r="D62" s="517"/>
      <c r="E62" s="517"/>
      <c r="F62" s="517"/>
      <c r="G62" s="517"/>
      <c r="H62" s="571"/>
      <c r="I62" s="400" t="s">
        <v>112</v>
      </c>
      <c r="J62" s="472" t="s">
        <v>11</v>
      </c>
      <c r="K62" s="573"/>
      <c r="L62" s="384"/>
      <c r="M62" s="385"/>
    </row>
    <row r="63" spans="1:40" ht="24" customHeight="1">
      <c r="A63" s="507"/>
      <c r="B63" s="508"/>
      <c r="C63" s="509"/>
      <c r="D63" s="509"/>
      <c r="E63" s="509"/>
      <c r="F63" s="509"/>
      <c r="G63" s="509"/>
      <c r="H63" s="511"/>
      <c r="I63" s="587"/>
      <c r="J63" s="587"/>
      <c r="K63" s="588"/>
      <c r="L63" s="510"/>
      <c r="M63" s="376"/>
    </row>
    <row r="64" spans="1:40" ht="24" customHeight="1">
      <c r="A64" s="602" t="s">
        <v>155</v>
      </c>
      <c r="B64" s="490">
        <v>5.45</v>
      </c>
      <c r="C64" s="598">
        <v>0.1</v>
      </c>
      <c r="D64" s="598">
        <v>0.3</v>
      </c>
      <c r="E64" s="598">
        <v>0.5</v>
      </c>
      <c r="F64" s="598">
        <v>0.7</v>
      </c>
      <c r="G64" s="598">
        <v>1</v>
      </c>
      <c r="H64" s="738" t="s">
        <v>364</v>
      </c>
      <c r="I64" s="739"/>
      <c r="J64" s="739"/>
      <c r="K64" s="740"/>
      <c r="L64" s="303">
        <f>ROUND((4+(J67-70)*1/30),4)</f>
        <v>4.5332999999999997</v>
      </c>
      <c r="M64" s="380">
        <f>IF(L64=0,"-",ROUND(L64*B64/B$75,4))</f>
        <v>0.26129999999999998</v>
      </c>
      <c r="Q64" s="368" t="s">
        <v>164</v>
      </c>
      <c r="R64" s="368" t="s">
        <v>165</v>
      </c>
      <c r="S64" s="368" t="s">
        <v>166</v>
      </c>
      <c r="T64" s="368" t="s">
        <v>180</v>
      </c>
      <c r="U64" s="368" t="s">
        <v>181</v>
      </c>
      <c r="V64" s="368" t="s">
        <v>278</v>
      </c>
      <c r="W64" s="368" t="s">
        <v>183</v>
      </c>
      <c r="X64" s="368" t="s">
        <v>184</v>
      </c>
      <c r="Y64" s="368" t="s">
        <v>185</v>
      </c>
      <c r="Z64" s="368" t="s">
        <v>186</v>
      </c>
      <c r="AA64" s="368" t="s">
        <v>187</v>
      </c>
      <c r="AB64" s="368" t="s">
        <v>188</v>
      </c>
      <c r="AC64" s="368" t="s">
        <v>189</v>
      </c>
      <c r="AD64" s="368" t="s">
        <v>190</v>
      </c>
      <c r="AE64" s="368" t="s">
        <v>191</v>
      </c>
      <c r="AF64" s="368" t="s">
        <v>192</v>
      </c>
      <c r="AG64" s="368" t="s">
        <v>193</v>
      </c>
      <c r="AH64" s="368" t="s">
        <v>20</v>
      </c>
    </row>
    <row r="65" spans="1:34" ht="24" customHeight="1">
      <c r="A65" s="603" t="s">
        <v>197</v>
      </c>
      <c r="B65" s="604"/>
      <c r="C65" s="383"/>
      <c r="D65" s="383"/>
      <c r="E65" s="383"/>
      <c r="F65" s="383"/>
      <c r="G65" s="406"/>
      <c r="H65" s="571" t="s">
        <v>317</v>
      </c>
      <c r="I65" s="501"/>
      <c r="J65" s="581"/>
      <c r="K65" s="582"/>
      <c r="L65" s="518"/>
      <c r="M65" s="385"/>
      <c r="Q65" s="368">
        <v>82</v>
      </c>
      <c r="R65" s="368">
        <v>100</v>
      </c>
      <c r="S65" s="368">
        <v>0</v>
      </c>
      <c r="T65" s="368">
        <v>82</v>
      </c>
      <c r="U65" s="368">
        <v>72</v>
      </c>
      <c r="V65" s="368">
        <v>81</v>
      </c>
      <c r="W65" s="368">
        <v>95</v>
      </c>
      <c r="X65" s="368">
        <v>72</v>
      </c>
      <c r="Y65" s="368">
        <v>80</v>
      </c>
      <c r="Z65" s="368">
        <v>76</v>
      </c>
      <c r="AA65" s="368">
        <v>76</v>
      </c>
      <c r="AB65" s="368">
        <v>86</v>
      </c>
      <c r="AC65" s="368">
        <v>76</v>
      </c>
      <c r="AD65" s="368">
        <v>70</v>
      </c>
      <c r="AE65" s="368">
        <v>100</v>
      </c>
      <c r="AF65" s="368">
        <v>72</v>
      </c>
      <c r="AG65" s="368">
        <v>95</v>
      </c>
      <c r="AH65" s="404">
        <f>(Q65+R65+S65+T65+U65+V65+W65+X65+Y65+Z65+AA65+AB65+AC65+AD65+AE65+AF65+AG65)/17</f>
        <v>77.352941176470594</v>
      </c>
    </row>
    <row r="66" spans="1:34" ht="24" customHeight="1">
      <c r="A66" s="381" t="s">
        <v>310</v>
      </c>
      <c r="B66" s="604"/>
      <c r="C66" s="383"/>
      <c r="D66" s="383"/>
      <c r="E66" s="383"/>
      <c r="F66" s="383"/>
      <c r="G66" s="383"/>
      <c r="H66" s="572" t="s">
        <v>231</v>
      </c>
      <c r="I66" s="501"/>
      <c r="J66" s="581"/>
      <c r="K66" s="582"/>
      <c r="L66" s="518"/>
      <c r="M66" s="385"/>
    </row>
    <row r="67" spans="1:34" ht="24" customHeight="1">
      <c r="A67" s="603"/>
      <c r="B67" s="604"/>
      <c r="C67" s="383"/>
      <c r="D67" s="383"/>
      <c r="E67" s="383"/>
      <c r="F67" s="383"/>
      <c r="G67" s="383"/>
      <c r="H67" s="571"/>
      <c r="I67" s="400" t="s">
        <v>114</v>
      </c>
      <c r="J67" s="545">
        <v>86</v>
      </c>
      <c r="K67" s="573" t="s">
        <v>51</v>
      </c>
      <c r="L67" s="518"/>
      <c r="M67" s="385"/>
      <c r="P67" s="305"/>
    </row>
    <row r="68" spans="1:34" ht="24" customHeight="1">
      <c r="A68" s="605"/>
      <c r="B68" s="606"/>
      <c r="C68" s="509"/>
      <c r="D68" s="509"/>
      <c r="E68" s="509"/>
      <c r="F68" s="509"/>
      <c r="G68" s="509"/>
      <c r="H68" s="512"/>
      <c r="I68" s="587"/>
      <c r="J68" s="587"/>
      <c r="K68" s="588"/>
      <c r="L68" s="607"/>
      <c r="M68" s="376"/>
    </row>
    <row r="69" spans="1:34" ht="24" customHeight="1">
      <c r="A69" s="379" t="s">
        <v>156</v>
      </c>
      <c r="B69" s="490">
        <v>5.45</v>
      </c>
      <c r="C69" s="498">
        <v>0.8</v>
      </c>
      <c r="D69" s="498">
        <v>0.85</v>
      </c>
      <c r="E69" s="498">
        <v>0.9</v>
      </c>
      <c r="F69" s="498">
        <v>0.95</v>
      </c>
      <c r="G69" s="498">
        <v>1</v>
      </c>
      <c r="H69" s="738" t="s">
        <v>304</v>
      </c>
      <c r="I69" s="739"/>
      <c r="J69" s="739"/>
      <c r="K69" s="740"/>
      <c r="L69" s="303">
        <f>ROUND(4+((J73-95)*1/5),4)</f>
        <v>4.5620000000000003</v>
      </c>
      <c r="M69" s="380">
        <f>IF(L69=0,"-",ROUND(L69*B69/B$75,4))</f>
        <v>0.26300000000000001</v>
      </c>
      <c r="R69" s="413"/>
    </row>
    <row r="70" spans="1:34" ht="24" customHeight="1">
      <c r="A70" s="381" t="s">
        <v>116</v>
      </c>
      <c r="B70" s="382"/>
      <c r="C70" s="497"/>
      <c r="D70" s="497"/>
      <c r="E70" s="497"/>
      <c r="F70" s="497"/>
      <c r="G70" s="497"/>
      <c r="H70" s="762" t="s">
        <v>305</v>
      </c>
      <c r="I70" s="763"/>
      <c r="J70" s="763"/>
      <c r="K70" s="764"/>
      <c r="L70" s="384"/>
      <c r="M70" s="385"/>
    </row>
    <row r="71" spans="1:34" ht="24" customHeight="1">
      <c r="A71" s="381" t="s">
        <v>310</v>
      </c>
      <c r="B71" s="382"/>
      <c r="C71" s="383"/>
      <c r="D71" s="383"/>
      <c r="E71" s="383"/>
      <c r="F71" s="383"/>
      <c r="G71" s="383"/>
      <c r="H71" s="762" t="s">
        <v>306</v>
      </c>
      <c r="I71" s="763"/>
      <c r="J71" s="763"/>
      <c r="K71" s="764"/>
      <c r="L71" s="384"/>
      <c r="M71" s="385"/>
      <c r="O71" s="375"/>
      <c r="P71" s="375"/>
      <c r="Q71" s="375"/>
      <c r="R71" s="375"/>
      <c r="S71" s="375"/>
      <c r="T71" s="375"/>
      <c r="U71" s="375"/>
      <c r="V71" s="375"/>
      <c r="W71" s="375"/>
      <c r="X71" s="375"/>
      <c r="Y71" s="375"/>
      <c r="Z71" s="375"/>
      <c r="AA71" s="375"/>
      <c r="AB71" s="375"/>
      <c r="AC71" s="375"/>
      <c r="AD71" s="375"/>
      <c r="AE71" s="375"/>
      <c r="AF71" s="375"/>
    </row>
    <row r="72" spans="1:34" ht="24" customHeight="1">
      <c r="A72" s="381"/>
      <c r="B72" s="382"/>
      <c r="C72" s="383"/>
      <c r="D72" s="383"/>
      <c r="E72" s="383"/>
      <c r="F72" s="383"/>
      <c r="G72" s="383"/>
      <c r="H72" s="571" t="s">
        <v>307</v>
      </c>
      <c r="I72" s="572"/>
      <c r="J72" s="572"/>
      <c r="K72" s="573"/>
      <c r="L72" s="384"/>
      <c r="M72" s="385"/>
      <c r="O72" s="414"/>
      <c r="P72" s="414"/>
      <c r="Q72" s="414"/>
      <c r="R72" s="414"/>
      <c r="S72" s="414"/>
      <c r="T72" s="414"/>
      <c r="U72" s="414"/>
      <c r="V72" s="414"/>
      <c r="W72" s="414"/>
      <c r="X72" s="414"/>
      <c r="Y72" s="414"/>
      <c r="Z72" s="414"/>
      <c r="AA72" s="414"/>
      <c r="AB72" s="414"/>
      <c r="AC72" s="414"/>
      <c r="AD72" s="414"/>
      <c r="AE72" s="414"/>
      <c r="AF72" s="414"/>
    </row>
    <row r="73" spans="1:34" ht="24" customHeight="1">
      <c r="A73" s="381"/>
      <c r="B73" s="382"/>
      <c r="C73" s="383"/>
      <c r="D73" s="383"/>
      <c r="E73" s="383"/>
      <c r="F73" s="383"/>
      <c r="G73" s="383"/>
      <c r="H73" s="571"/>
      <c r="I73" s="400" t="s">
        <v>114</v>
      </c>
      <c r="J73" s="545">
        <v>97.81</v>
      </c>
      <c r="K73" s="578" t="s">
        <v>51</v>
      </c>
      <c r="L73" s="384"/>
      <c r="M73" s="385"/>
      <c r="O73" s="414"/>
      <c r="P73" s="414"/>
      <c r="Q73" s="414"/>
      <c r="R73" s="414"/>
      <c r="S73" s="414"/>
      <c r="T73" s="414"/>
      <c r="U73" s="414"/>
      <c r="V73" s="414"/>
      <c r="W73" s="414"/>
      <c r="X73" s="414"/>
      <c r="Y73" s="414"/>
      <c r="Z73" s="414"/>
      <c r="AA73" s="414"/>
      <c r="AB73" s="414"/>
      <c r="AC73" s="414"/>
      <c r="AD73" s="414"/>
      <c r="AE73" s="414"/>
      <c r="AF73" s="414"/>
    </row>
    <row r="74" spans="1:34" ht="24" customHeight="1">
      <c r="A74" s="381"/>
      <c r="B74" s="608"/>
      <c r="C74" s="383"/>
      <c r="D74" s="383"/>
      <c r="E74" s="383"/>
      <c r="F74" s="383"/>
      <c r="G74" s="517"/>
      <c r="H74" s="571"/>
      <c r="I74" s="601"/>
      <c r="J74" s="600"/>
      <c r="K74" s="578"/>
      <c r="L74" s="384"/>
      <c r="M74" s="385"/>
      <c r="O74" s="414"/>
      <c r="P74" s="414"/>
      <c r="Q74" s="414"/>
      <c r="R74" s="414"/>
      <c r="S74" s="414"/>
      <c r="T74" s="414"/>
      <c r="U74" s="414"/>
      <c r="V74" s="414"/>
      <c r="W74" s="414"/>
      <c r="X74" s="414"/>
      <c r="Y74" s="414"/>
      <c r="Z74" s="414"/>
      <c r="AA74" s="414"/>
      <c r="AB74" s="414"/>
      <c r="AC74" s="414"/>
      <c r="AD74" s="414"/>
      <c r="AE74" s="414"/>
      <c r="AF74" s="414"/>
    </row>
    <row r="75" spans="1:34" ht="24" customHeight="1">
      <c r="A75" s="415"/>
      <c r="B75" s="416">
        <f>SUM(B6:B74)</f>
        <v>94.550000000000026</v>
      </c>
      <c r="C75" s="417"/>
      <c r="D75" s="417"/>
      <c r="E75" s="417"/>
      <c r="F75" s="417"/>
      <c r="G75" s="418"/>
      <c r="H75" s="417"/>
      <c r="I75" s="417"/>
      <c r="J75" s="417"/>
      <c r="K75" s="417"/>
      <c r="L75" s="419" t="s">
        <v>140</v>
      </c>
      <c r="M75" s="420">
        <f>SUM(M6:M74)</f>
        <v>4.6017999999999999</v>
      </c>
      <c r="O75" s="414"/>
      <c r="P75" s="414"/>
      <c r="Q75" s="414"/>
      <c r="R75" s="414"/>
      <c r="S75" s="414"/>
      <c r="T75" s="414"/>
      <c r="U75" s="414"/>
      <c r="V75" s="414"/>
      <c r="W75" s="414"/>
      <c r="X75" s="414"/>
      <c r="Y75" s="414"/>
      <c r="Z75" s="414"/>
      <c r="AA75" s="414"/>
      <c r="AB75" s="414"/>
      <c r="AC75" s="414"/>
      <c r="AD75" s="414"/>
      <c r="AE75" s="414"/>
      <c r="AF75" s="414"/>
    </row>
    <row r="76" spans="1:34" ht="24" customHeight="1">
      <c r="O76" s="414"/>
      <c r="P76" s="414"/>
      <c r="Q76" s="414"/>
      <c r="R76" s="414"/>
      <c r="S76" s="414"/>
      <c r="T76" s="414"/>
      <c r="U76" s="414"/>
      <c r="V76" s="422"/>
      <c r="W76" s="414"/>
      <c r="X76" s="414"/>
      <c r="Y76" s="414"/>
      <c r="Z76" s="414"/>
      <c r="AA76" s="414"/>
      <c r="AB76" s="414"/>
      <c r="AC76" s="414"/>
      <c r="AD76" s="414"/>
      <c r="AE76" s="414"/>
      <c r="AF76" s="414"/>
    </row>
    <row r="77" spans="1:34" ht="24" customHeight="1">
      <c r="A77" s="423"/>
    </row>
    <row r="78" spans="1:34" ht="24" customHeight="1"/>
    <row r="79" spans="1:34" ht="24" customHeight="1"/>
    <row r="80" spans="1:34" ht="24" customHeight="1"/>
    <row r="81" ht="24" customHeight="1"/>
    <row r="82" ht="24" customHeight="1"/>
    <row r="83" ht="24" customHeight="1"/>
    <row r="84" ht="24" customHeight="1"/>
  </sheetData>
  <mergeCells count="42">
    <mergeCell ref="H61:K61"/>
    <mergeCell ref="H64:K64"/>
    <mergeCell ref="H69:K69"/>
    <mergeCell ref="H70:K70"/>
    <mergeCell ref="H71:K71"/>
    <mergeCell ref="H60:K60"/>
    <mergeCell ref="H38:K38"/>
    <mergeCell ref="H39:K39"/>
    <mergeCell ref="H41:K41"/>
    <mergeCell ref="H42:K42"/>
    <mergeCell ref="H43:K43"/>
    <mergeCell ref="H48:K48"/>
    <mergeCell ref="H49:K49"/>
    <mergeCell ref="H50:K50"/>
    <mergeCell ref="H55:K55"/>
    <mergeCell ref="H56:K56"/>
    <mergeCell ref="H59:K59"/>
    <mergeCell ref="H37:K37"/>
    <mergeCell ref="H18:K18"/>
    <mergeCell ref="H20:K20"/>
    <mergeCell ref="H21:K21"/>
    <mergeCell ref="H22:K22"/>
    <mergeCell ref="H23:K23"/>
    <mergeCell ref="H26:K26"/>
    <mergeCell ref="H27:K27"/>
    <mergeCell ref="H28:K28"/>
    <mergeCell ref="H31:K31"/>
    <mergeCell ref="H32:K32"/>
    <mergeCell ref="H33:K33"/>
    <mergeCell ref="H17:K17"/>
    <mergeCell ref="A1:M1"/>
    <mergeCell ref="A2:M2"/>
    <mergeCell ref="C4:G4"/>
    <mergeCell ref="H4:K5"/>
    <mergeCell ref="L4:L5"/>
    <mergeCell ref="H6:I7"/>
    <mergeCell ref="J6:K6"/>
    <mergeCell ref="H9:I9"/>
    <mergeCell ref="H10:I10"/>
    <mergeCell ref="H13:I13"/>
    <mergeCell ref="H15:K15"/>
    <mergeCell ref="H16:K16"/>
  </mergeCells>
  <printOptions horizontalCentered="1"/>
  <pageMargins left="0.196850393700787" right="0.196850393700787" top="0.55118110236220497" bottom="0.27559055118110198" header="0.196850393700787" footer="0.47244094488188998"/>
  <pageSetup paperSize="9" scale="68" orientation="landscape" r:id="rId1"/>
  <headerFooter scaleWithDoc="0">
    <oddHeader>&amp;R&amp;"TH SarabunPSK,Regular"&amp;16&amp;P</oddHeader>
  </headerFooter>
  <rowBreaks count="2" manualBreakCount="2">
    <brk id="25" max="12" man="1"/>
    <brk id="54" max="12" man="1"/>
  </rowBreaks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22"/>
  <sheetViews>
    <sheetView topLeftCell="A2" workbookViewId="0">
      <selection activeCell="A2" sqref="A2:F2"/>
    </sheetView>
  </sheetViews>
  <sheetFormatPr defaultRowHeight="23.25"/>
  <cols>
    <col min="1" max="1" width="9.140625" style="358" bestFit="1" customWidth="1"/>
    <col min="2" max="2" width="42.5703125" style="358" bestFit="1" customWidth="1"/>
    <col min="3" max="3" width="13.7109375" style="358" bestFit="1" customWidth="1"/>
    <col min="4" max="4" width="23" style="358" customWidth="1"/>
    <col min="5" max="5" width="19.28515625" style="358" customWidth="1"/>
    <col min="6" max="6" width="23.140625" style="358" customWidth="1"/>
    <col min="7" max="16384" width="9.140625" style="358"/>
  </cols>
  <sheetData>
    <row r="1" spans="1:6">
      <c r="A1" s="791" t="s">
        <v>288</v>
      </c>
      <c r="B1" s="791"/>
      <c r="C1" s="791"/>
      <c r="D1" s="791"/>
      <c r="E1" s="791"/>
      <c r="F1" s="791"/>
    </row>
    <row r="2" spans="1:6">
      <c r="A2" s="791" t="s">
        <v>289</v>
      </c>
      <c r="B2" s="791"/>
      <c r="C2" s="791"/>
      <c r="D2" s="791"/>
      <c r="E2" s="791"/>
      <c r="F2" s="791"/>
    </row>
    <row r="3" spans="1:6" ht="18" customHeight="1">
      <c r="A3" s="361"/>
      <c r="B3" s="361"/>
      <c r="C3" s="361"/>
      <c r="D3" s="361"/>
      <c r="E3" s="361"/>
      <c r="F3" s="362"/>
    </row>
    <row r="4" spans="1:6" ht="46.5" customHeight="1">
      <c r="A4" s="793" t="s">
        <v>354</v>
      </c>
      <c r="B4" s="792" t="s">
        <v>290</v>
      </c>
      <c r="C4" s="793" t="s">
        <v>291</v>
      </c>
      <c r="D4" s="792" t="s">
        <v>292</v>
      </c>
      <c r="E4" s="792"/>
      <c r="F4" s="792" t="s">
        <v>293</v>
      </c>
    </row>
    <row r="5" spans="1:6" ht="69.75">
      <c r="A5" s="792"/>
      <c r="B5" s="792"/>
      <c r="C5" s="793"/>
      <c r="D5" s="363" t="s">
        <v>355</v>
      </c>
      <c r="E5" s="363" t="s">
        <v>356</v>
      </c>
      <c r="F5" s="792"/>
    </row>
    <row r="6" spans="1:6">
      <c r="A6" s="364">
        <v>1</v>
      </c>
      <c r="B6" s="359" t="s">
        <v>345</v>
      </c>
      <c r="C6" s="364">
        <f>'13.ผสญ.10'!M64</f>
        <v>4.6649000000000003</v>
      </c>
      <c r="D6" s="366">
        <f>'13.ผสญ.10'!B64</f>
        <v>78.190000000000012</v>
      </c>
      <c r="E6" s="367">
        <f t="shared" ref="E6" si="0">ROUND(C6*D6/100,4)</f>
        <v>3.6475</v>
      </c>
      <c r="F6" s="364" t="s">
        <v>357</v>
      </c>
    </row>
    <row r="7" spans="1:6">
      <c r="A7" s="364">
        <f t="shared" ref="A7:A21" si="1">A6+1</f>
        <v>2</v>
      </c>
      <c r="B7" s="359" t="s">
        <v>333</v>
      </c>
      <c r="C7" s="364">
        <f>'9.ผสญ.6'!M71</f>
        <v>4.1619999999999999</v>
      </c>
      <c r="D7" s="366">
        <f>'9.ผสญ.6'!B71</f>
        <v>83.640000000000015</v>
      </c>
      <c r="E7" s="367">
        <f t="shared" ref="E7:E20" si="2">ROUND(C7*D7/100,4)</f>
        <v>3.4811000000000001</v>
      </c>
      <c r="F7" s="364" t="s">
        <v>358</v>
      </c>
    </row>
    <row r="8" spans="1:6">
      <c r="A8" s="364">
        <f t="shared" si="1"/>
        <v>3</v>
      </c>
      <c r="B8" s="359" t="s">
        <v>350</v>
      </c>
      <c r="C8" s="364">
        <f>'16.ผสญ.13'!M75</f>
        <v>4.6017999999999999</v>
      </c>
      <c r="D8" s="366">
        <f>'16.ผสญ.13'!B75</f>
        <v>94.550000000000026</v>
      </c>
      <c r="E8" s="367">
        <f t="shared" si="2"/>
        <v>4.351</v>
      </c>
      <c r="F8" s="364" t="s">
        <v>359</v>
      </c>
    </row>
    <row r="9" spans="1:6">
      <c r="A9" s="364">
        <f t="shared" si="1"/>
        <v>4</v>
      </c>
      <c r="B9" s="359" t="s">
        <v>348</v>
      </c>
      <c r="C9" s="364">
        <f>'15.ผสญ.12'!M71</f>
        <v>4.6847000000000003</v>
      </c>
      <c r="D9" s="366">
        <f>'15.ผสญ.12'!B71</f>
        <v>83.640000000000015</v>
      </c>
      <c r="E9" s="367">
        <f t="shared" si="2"/>
        <v>3.9182999999999999</v>
      </c>
      <c r="F9" s="364" t="s">
        <v>360</v>
      </c>
    </row>
    <row r="10" spans="1:6">
      <c r="A10" s="364">
        <f t="shared" si="1"/>
        <v>5</v>
      </c>
      <c r="B10" s="359" t="s">
        <v>335</v>
      </c>
      <c r="C10" s="364">
        <f>'10.ผสญ.7'!M72</f>
        <v>4.3585000000000012</v>
      </c>
      <c r="D10" s="366">
        <f>'10.ผสญ.7'!B72</f>
        <v>78.190000000000012</v>
      </c>
      <c r="E10" s="367">
        <f t="shared" si="2"/>
        <v>3.4079000000000002</v>
      </c>
      <c r="F10" s="364" t="s">
        <v>360</v>
      </c>
    </row>
    <row r="11" spans="1:6">
      <c r="A11" s="364">
        <f t="shared" si="1"/>
        <v>6</v>
      </c>
      <c r="B11" s="359" t="s">
        <v>294</v>
      </c>
      <c r="C11" s="364">
        <f>'1.ผตป.พญ.'!M66</f>
        <v>4.8454000000000015</v>
      </c>
      <c r="D11" s="366">
        <f>'1.ผตป.พญ.'!B66</f>
        <v>67.280000000000015</v>
      </c>
      <c r="E11" s="367">
        <f t="shared" si="2"/>
        <v>3.26</v>
      </c>
      <c r="F11" s="364" t="s">
        <v>360</v>
      </c>
    </row>
    <row r="12" spans="1:6">
      <c r="A12" s="364">
        <f t="shared" si="1"/>
        <v>7</v>
      </c>
      <c r="B12" s="359" t="s">
        <v>330</v>
      </c>
      <c r="C12" s="364">
        <f>'8.ผสญ.5'!M77</f>
        <v>2.4214000000000002</v>
      </c>
      <c r="D12" s="366">
        <f>'8.ผสญ.5'!B77</f>
        <v>100.00000000000003</v>
      </c>
      <c r="E12" s="367">
        <f t="shared" si="2"/>
        <v>2.4214000000000002</v>
      </c>
      <c r="F12" s="364"/>
    </row>
    <row r="13" spans="1:6">
      <c r="A13" s="364">
        <f t="shared" si="1"/>
        <v>8</v>
      </c>
      <c r="B13" s="359" t="s">
        <v>308</v>
      </c>
      <c r="C13" s="364">
        <f>'5.ผสญ.2'!M64</f>
        <v>4.1612999999999998</v>
      </c>
      <c r="D13" s="366">
        <f>'5.ผสญ.2'!B64</f>
        <v>78.190000000000012</v>
      </c>
      <c r="E13" s="367">
        <f t="shared" si="2"/>
        <v>3.2536999999999998</v>
      </c>
      <c r="F13" s="364"/>
    </row>
    <row r="14" spans="1:6">
      <c r="A14" s="364">
        <f t="shared" si="1"/>
        <v>9</v>
      </c>
      <c r="B14" s="359" t="s">
        <v>327</v>
      </c>
      <c r="C14" s="364">
        <f>'7.ผสญ.4'!M66</f>
        <v>3.5601000000000003</v>
      </c>
      <c r="D14" s="366">
        <f>'7.ผสญ.4'!B66</f>
        <v>78.190000000000012</v>
      </c>
      <c r="E14" s="367">
        <f t="shared" si="2"/>
        <v>2.7835999999999999</v>
      </c>
      <c r="F14" s="364"/>
    </row>
    <row r="15" spans="1:6">
      <c r="A15" s="364">
        <f t="shared" si="1"/>
        <v>10</v>
      </c>
      <c r="B15" s="359" t="s">
        <v>341</v>
      </c>
      <c r="C15" s="364">
        <f>'11.ผสญ.8'!M71</f>
        <v>4.591899999999999</v>
      </c>
      <c r="D15" s="366">
        <f>'11.ผสญ.8'!B71</f>
        <v>83.640000000000015</v>
      </c>
      <c r="E15" s="367">
        <f t="shared" si="2"/>
        <v>3.8407</v>
      </c>
      <c r="F15" s="364"/>
    </row>
    <row r="16" spans="1:6">
      <c r="A16" s="364">
        <f t="shared" si="1"/>
        <v>11</v>
      </c>
      <c r="B16" s="359" t="s">
        <v>349</v>
      </c>
      <c r="C16" s="367">
        <f>'14.ผสญ.11'!M71</f>
        <v>3.6497000000000002</v>
      </c>
      <c r="D16" s="366">
        <f>'14.ผสญ.11'!B71</f>
        <v>83.640000000000015</v>
      </c>
      <c r="E16" s="367">
        <f t="shared" si="2"/>
        <v>3.0526</v>
      </c>
      <c r="F16" s="364"/>
    </row>
    <row r="17" spans="1:6">
      <c r="A17" s="364">
        <f t="shared" si="1"/>
        <v>12</v>
      </c>
      <c r="B17" s="359" t="s">
        <v>343</v>
      </c>
      <c r="C17" s="367">
        <f>'12.ผสญ.9'!M71</f>
        <v>3.6227999999999998</v>
      </c>
      <c r="D17" s="366">
        <f>'12.ผสญ.9'!B71</f>
        <v>83.640000000000015</v>
      </c>
      <c r="E17" s="367">
        <f t="shared" si="2"/>
        <v>3.0301</v>
      </c>
      <c r="F17" s="364"/>
    </row>
    <row r="18" spans="1:6">
      <c r="A18" s="364">
        <f t="shared" si="1"/>
        <v>13</v>
      </c>
      <c r="B18" s="359" t="s">
        <v>297</v>
      </c>
      <c r="C18" s="364">
        <f>'4.ผสญ.1'!M59</f>
        <v>3.1701000000000001</v>
      </c>
      <c r="D18" s="366">
        <f>'4.ผสญ.1'!B59</f>
        <v>72.740000000000009</v>
      </c>
      <c r="E18" s="367">
        <f t="shared" si="2"/>
        <v>2.3058999999999998</v>
      </c>
      <c r="F18" s="364"/>
    </row>
    <row r="19" spans="1:6">
      <c r="A19" s="364">
        <f t="shared" si="1"/>
        <v>14</v>
      </c>
      <c r="B19" s="359" t="s">
        <v>315</v>
      </c>
      <c r="C19" s="364">
        <f>'6.ผสญ.3'!M64</f>
        <v>2.6270000000000002</v>
      </c>
      <c r="D19" s="366">
        <f>'6.ผสญ.3'!B64</f>
        <v>78.190000000000012</v>
      </c>
      <c r="E19" s="367">
        <f t="shared" si="2"/>
        <v>2.0541</v>
      </c>
      <c r="F19" s="364"/>
    </row>
    <row r="20" spans="1:6">
      <c r="A20" s="364">
        <f t="shared" si="1"/>
        <v>15</v>
      </c>
      <c r="B20" s="359" t="s">
        <v>296</v>
      </c>
      <c r="C20" s="364">
        <f>'3.ฝบท.พญ.'!M37</f>
        <v>4.3722999999999992</v>
      </c>
      <c r="D20" s="366">
        <f>'3.ฝบท.พญ.'!B37</f>
        <v>29.119999999999997</v>
      </c>
      <c r="E20" s="367">
        <f t="shared" si="2"/>
        <v>1.2732000000000001</v>
      </c>
      <c r="F20" s="364"/>
    </row>
    <row r="21" spans="1:6">
      <c r="A21" s="364">
        <f t="shared" si="1"/>
        <v>16</v>
      </c>
      <c r="B21" s="359" t="s">
        <v>295</v>
      </c>
      <c r="C21" s="367">
        <f>'2.ผวศ.พญ.'!M48</f>
        <v>4.4681000000000006</v>
      </c>
      <c r="D21" s="366">
        <f>'2.ผวศ.พญ.'!B48</f>
        <v>50.930000000000007</v>
      </c>
      <c r="E21" s="367">
        <f t="shared" ref="E21" si="3">ROUND(C21*D21/100,4)</f>
        <v>2.2755999999999998</v>
      </c>
      <c r="F21" s="364"/>
    </row>
    <row r="22" spans="1:6">
      <c r="A22" s="360"/>
      <c r="B22" s="360"/>
      <c r="C22" s="365"/>
      <c r="D22" s="365"/>
      <c r="E22" s="365"/>
      <c r="F22" s="365"/>
    </row>
  </sheetData>
  <mergeCells count="7">
    <mergeCell ref="A1:F1"/>
    <mergeCell ref="A2:F2"/>
    <mergeCell ref="D4:E4"/>
    <mergeCell ref="C4:C5"/>
    <mergeCell ref="B4:B5"/>
    <mergeCell ref="A4:A5"/>
    <mergeCell ref="F4:F5"/>
  </mergeCells>
  <pageMargins left="0.7" right="0.7" top="0.25" bottom="0.2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94"/>
  <sheetViews>
    <sheetView topLeftCell="A49"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/>
  <cols>
    <col min="1" max="1" width="38" style="31" customWidth="1"/>
    <col min="2" max="2" width="9.7109375" style="31" customWidth="1"/>
    <col min="3" max="7" width="9.28515625" style="31" customWidth="1"/>
    <col min="8" max="9" width="9.85546875" style="31" customWidth="1"/>
    <col min="10" max="10" width="13.140625" style="31" customWidth="1"/>
    <col min="11" max="11" width="27.28515625" style="31" customWidth="1"/>
    <col min="12" max="12" width="11.5703125" style="31" customWidth="1"/>
    <col min="13" max="13" width="11.140625" style="31" customWidth="1"/>
    <col min="14" max="16384" width="9.140625" style="31"/>
  </cols>
  <sheetData>
    <row r="1" spans="1:16" ht="27.75">
      <c r="A1" s="659" t="s">
        <v>0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</row>
    <row r="2" spans="1:16" ht="27.75">
      <c r="A2" s="659" t="s">
        <v>45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</row>
    <row r="3" spans="1:16" ht="26.25" customHeight="1">
      <c r="A3" s="79" t="s">
        <v>133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 t="s">
        <v>37</v>
      </c>
    </row>
    <row r="4" spans="1:16" s="34" customFormat="1" ht="24.75" customHeight="1">
      <c r="A4" s="32" t="s">
        <v>1</v>
      </c>
      <c r="B4" s="32" t="s">
        <v>2</v>
      </c>
      <c r="C4" s="661" t="s">
        <v>3</v>
      </c>
      <c r="D4" s="661"/>
      <c r="E4" s="661"/>
      <c r="F4" s="661"/>
      <c r="G4" s="661"/>
      <c r="H4" s="662" t="s">
        <v>4</v>
      </c>
      <c r="I4" s="663"/>
      <c r="J4" s="663"/>
      <c r="K4" s="664"/>
      <c r="L4" s="668" t="s">
        <v>5</v>
      </c>
      <c r="M4" s="33" t="s">
        <v>6</v>
      </c>
    </row>
    <row r="5" spans="1:16" s="34" customFormat="1" ht="24.75" customHeight="1">
      <c r="A5" s="35" t="s">
        <v>7</v>
      </c>
      <c r="B5" s="35" t="s">
        <v>8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665"/>
      <c r="I5" s="666"/>
      <c r="J5" s="666"/>
      <c r="K5" s="667"/>
      <c r="L5" s="668"/>
      <c r="M5" s="37" t="s">
        <v>9</v>
      </c>
    </row>
    <row r="6" spans="1:16" ht="23.25" customHeight="1">
      <c r="A6" s="38" t="s">
        <v>10</v>
      </c>
      <c r="B6" s="109">
        <v>10</v>
      </c>
      <c r="C6" s="2">
        <v>0.6</v>
      </c>
      <c r="D6" s="2">
        <v>0.7</v>
      </c>
      <c r="E6" s="2">
        <v>0.8</v>
      </c>
      <c r="F6" s="2">
        <v>0.9</v>
      </c>
      <c r="G6" s="2">
        <v>1</v>
      </c>
      <c r="H6" s="221" t="s">
        <v>128</v>
      </c>
      <c r="I6" s="68"/>
      <c r="J6" s="68"/>
      <c r="K6" s="69"/>
      <c r="L6" s="114">
        <v>2.4500000000000002</v>
      </c>
      <c r="M6" s="61">
        <f>IF(L6=0,"-",L6*B6/B$94)</f>
        <v>0.245</v>
      </c>
    </row>
    <row r="7" spans="1:16" ht="23.25" customHeight="1">
      <c r="A7" s="39" t="s">
        <v>12</v>
      </c>
      <c r="B7" s="3"/>
      <c r="C7" s="4"/>
      <c r="D7" s="4"/>
      <c r="E7" s="4"/>
      <c r="F7" s="4"/>
      <c r="G7" s="4"/>
      <c r="H7" s="220" t="s">
        <v>40</v>
      </c>
      <c r="I7" s="70"/>
      <c r="J7" s="113">
        <v>74.48</v>
      </c>
      <c r="K7" s="71" t="s">
        <v>51</v>
      </c>
      <c r="L7" s="115"/>
      <c r="M7" s="62"/>
    </row>
    <row r="8" spans="1:16" ht="23.25" customHeight="1">
      <c r="A8" s="40"/>
      <c r="B8" s="5"/>
      <c r="C8" s="6"/>
      <c r="D8" s="6"/>
      <c r="E8" s="6"/>
      <c r="F8" s="6"/>
      <c r="G8" s="6"/>
      <c r="H8" s="28"/>
      <c r="I8" s="70"/>
      <c r="J8" s="70"/>
      <c r="K8" s="78"/>
      <c r="L8" s="115"/>
      <c r="M8" s="62"/>
    </row>
    <row r="9" spans="1:16" ht="23.25" customHeight="1">
      <c r="A9" s="38" t="s">
        <v>13</v>
      </c>
      <c r="B9" s="109">
        <v>10</v>
      </c>
      <c r="C9" s="238">
        <v>8304</v>
      </c>
      <c r="D9" s="239">
        <v>11418</v>
      </c>
      <c r="E9" s="239">
        <v>14532</v>
      </c>
      <c r="F9" s="239">
        <v>17646</v>
      </c>
      <c r="G9" s="239">
        <v>20760</v>
      </c>
      <c r="H9" s="652" t="s">
        <v>14</v>
      </c>
      <c r="I9" s="653"/>
      <c r="J9" s="654" t="s">
        <v>15</v>
      </c>
      <c r="K9" s="654"/>
      <c r="L9" s="114">
        <v>1</v>
      </c>
      <c r="M9" s="61">
        <f>IF(L9=0,"-",L9*B9/B$94)</f>
        <v>0.1</v>
      </c>
      <c r="O9" s="41"/>
      <c r="P9" s="42"/>
    </row>
    <row r="10" spans="1:16" ht="23.25" customHeight="1">
      <c r="A10" s="40" t="s">
        <v>16</v>
      </c>
      <c r="B10" s="3"/>
      <c r="C10" s="9" t="s">
        <v>38</v>
      </c>
      <c r="D10" s="9" t="s">
        <v>38</v>
      </c>
      <c r="E10" s="9" t="s">
        <v>39</v>
      </c>
      <c r="F10" s="9" t="s">
        <v>38</v>
      </c>
      <c r="G10" s="9" t="s">
        <v>38</v>
      </c>
      <c r="H10" s="652"/>
      <c r="I10" s="653"/>
      <c r="J10" s="216" t="s">
        <v>17</v>
      </c>
      <c r="K10" s="216" t="s">
        <v>18</v>
      </c>
      <c r="L10" s="115"/>
      <c r="M10" s="62"/>
      <c r="O10" s="41"/>
      <c r="P10" s="43"/>
    </row>
    <row r="11" spans="1:16" ht="23.25" customHeight="1">
      <c r="A11" s="40"/>
      <c r="B11" s="3"/>
      <c r="C11" s="10"/>
      <c r="D11" s="10"/>
      <c r="E11" s="10"/>
      <c r="F11" s="10"/>
      <c r="G11" s="10"/>
      <c r="H11" s="655" t="s">
        <v>19</v>
      </c>
      <c r="I11" s="656"/>
      <c r="J11" s="73">
        <v>19000</v>
      </c>
      <c r="K11" s="64">
        <v>5000</v>
      </c>
      <c r="L11" s="115"/>
      <c r="M11" s="62"/>
    </row>
    <row r="12" spans="1:16" ht="23.25" customHeight="1">
      <c r="A12" s="40"/>
      <c r="B12" s="5"/>
      <c r="C12" s="11"/>
      <c r="D12" s="12"/>
      <c r="E12" s="12"/>
      <c r="F12" s="12"/>
      <c r="G12" s="12"/>
      <c r="H12" s="221" t="s">
        <v>41</v>
      </c>
      <c r="I12" s="219"/>
      <c r="J12" s="74">
        <v>1760</v>
      </c>
      <c r="K12" s="65" t="s">
        <v>11</v>
      </c>
      <c r="L12" s="115"/>
      <c r="M12" s="62"/>
    </row>
    <row r="13" spans="1:16" ht="23.25" customHeight="1">
      <c r="A13" s="40"/>
      <c r="B13" s="5"/>
      <c r="C13" s="12"/>
      <c r="D13" s="12"/>
      <c r="E13" s="12"/>
      <c r="F13" s="12"/>
      <c r="G13" s="12"/>
      <c r="H13" s="657" t="s">
        <v>42</v>
      </c>
      <c r="I13" s="658"/>
      <c r="J13" s="86"/>
      <c r="K13" s="87"/>
      <c r="L13" s="115"/>
      <c r="M13" s="62"/>
    </row>
    <row r="14" spans="1:16" ht="23.25" customHeight="1">
      <c r="A14" s="40"/>
      <c r="B14" s="5"/>
      <c r="C14" s="12"/>
      <c r="D14" s="12"/>
      <c r="E14" s="12"/>
      <c r="F14" s="12"/>
      <c r="G14" s="12"/>
      <c r="H14" s="669" t="s">
        <v>43</v>
      </c>
      <c r="I14" s="670"/>
      <c r="J14" s="88"/>
      <c r="K14" s="89"/>
      <c r="L14" s="115"/>
      <c r="M14" s="62"/>
    </row>
    <row r="15" spans="1:16" ht="23.25" customHeight="1" thickBot="1">
      <c r="A15" s="40"/>
      <c r="B15" s="5"/>
      <c r="C15" s="12"/>
      <c r="D15" s="12"/>
      <c r="E15" s="12"/>
      <c r="F15" s="12"/>
      <c r="G15" s="12"/>
      <c r="H15" s="671" t="s">
        <v>20</v>
      </c>
      <c r="I15" s="671"/>
      <c r="J15" s="90">
        <f>SUM(J11:J12)</f>
        <v>20760</v>
      </c>
      <c r="K15" s="91">
        <f>SUM(K11:K12)</f>
        <v>5000</v>
      </c>
      <c r="L15" s="115"/>
      <c r="M15" s="62"/>
    </row>
    <row r="16" spans="1:16" ht="23.25" customHeight="1" thickTop="1">
      <c r="A16" s="40"/>
      <c r="B16" s="5"/>
      <c r="C16" s="12"/>
      <c r="D16" s="12"/>
      <c r="E16" s="12"/>
      <c r="F16" s="12"/>
      <c r="G16" s="12"/>
      <c r="H16" s="3"/>
      <c r="I16" s="92"/>
      <c r="J16" s="93"/>
      <c r="K16" s="94"/>
      <c r="L16" s="115"/>
      <c r="M16" s="62"/>
    </row>
    <row r="17" spans="1:13" ht="23.25" customHeight="1">
      <c r="A17" s="38" t="s">
        <v>52</v>
      </c>
      <c r="B17" s="109">
        <v>5</v>
      </c>
      <c r="C17" s="13">
        <v>0.65</v>
      </c>
      <c r="D17" s="13">
        <v>0.7</v>
      </c>
      <c r="E17" s="13">
        <v>0.75</v>
      </c>
      <c r="F17" s="13">
        <v>0.8</v>
      </c>
      <c r="G17" s="13">
        <v>0.85</v>
      </c>
      <c r="H17" s="675" t="s">
        <v>46</v>
      </c>
      <c r="I17" s="672"/>
      <c r="J17" s="672"/>
      <c r="K17" s="673"/>
      <c r="L17" s="114">
        <f>'[1]6 เดือน'!$L$17</f>
        <v>1</v>
      </c>
      <c r="M17" s="61">
        <f>IF(L17=0,"-",L17*B17/B$94)</f>
        <v>0.05</v>
      </c>
    </row>
    <row r="18" spans="1:13" ht="23.25" customHeight="1">
      <c r="A18" s="40" t="s">
        <v>44</v>
      </c>
      <c r="B18" s="5"/>
      <c r="C18" s="12"/>
      <c r="D18" s="12"/>
      <c r="E18" s="12"/>
      <c r="F18" s="12"/>
      <c r="G18" s="12"/>
      <c r="H18" s="657" t="s">
        <v>47</v>
      </c>
      <c r="I18" s="674"/>
      <c r="J18" s="674"/>
      <c r="K18" s="658"/>
      <c r="L18" s="115"/>
      <c r="M18" s="62"/>
    </row>
    <row r="19" spans="1:13" ht="23.25" customHeight="1">
      <c r="A19" s="44"/>
      <c r="B19" s="5"/>
      <c r="C19" s="12"/>
      <c r="D19" s="12"/>
      <c r="E19" s="12"/>
      <c r="F19" s="12"/>
      <c r="G19" s="12"/>
      <c r="H19" s="657" t="s">
        <v>48</v>
      </c>
      <c r="I19" s="674"/>
      <c r="J19" s="674"/>
      <c r="K19" s="658"/>
      <c r="L19" s="115"/>
      <c r="M19" s="62"/>
    </row>
    <row r="20" spans="1:13" ht="23.25" customHeight="1">
      <c r="A20" s="44"/>
      <c r="B20" s="5"/>
      <c r="C20" s="12"/>
      <c r="D20" s="12"/>
      <c r="E20" s="12"/>
      <c r="F20" s="12"/>
      <c r="G20" s="12"/>
      <c r="H20" s="657" t="s">
        <v>49</v>
      </c>
      <c r="I20" s="674"/>
      <c r="J20" s="674"/>
      <c r="K20" s="658"/>
      <c r="L20" s="115"/>
      <c r="M20" s="62"/>
    </row>
    <row r="21" spans="1:13" ht="23.25" customHeight="1">
      <c r="A21" s="44"/>
      <c r="B21" s="5"/>
      <c r="C21" s="12"/>
      <c r="D21" s="12"/>
      <c r="E21" s="12"/>
      <c r="F21" s="12"/>
      <c r="G21" s="12"/>
      <c r="H21" s="657" t="s">
        <v>50</v>
      </c>
      <c r="I21" s="674"/>
      <c r="J21" s="674"/>
      <c r="K21" s="658"/>
      <c r="L21" s="115"/>
      <c r="M21" s="62"/>
    </row>
    <row r="22" spans="1:13" ht="23.25" customHeight="1">
      <c r="A22" s="44"/>
      <c r="B22" s="5"/>
      <c r="C22" s="12"/>
      <c r="D22" s="12"/>
      <c r="E22" s="12"/>
      <c r="F22" s="12"/>
      <c r="G22" s="12"/>
      <c r="H22" s="95"/>
      <c r="I22" s="51" t="s">
        <v>54</v>
      </c>
      <c r="J22" s="111" t="e">
        <f>'[1]6 เดือน'!$J$22</f>
        <v>#REF!</v>
      </c>
      <c r="K22" s="218" t="s">
        <v>51</v>
      </c>
      <c r="L22" s="115"/>
      <c r="M22" s="62"/>
    </row>
    <row r="23" spans="1:13" ht="23.25" customHeight="1">
      <c r="A23" s="45"/>
      <c r="B23" s="14"/>
      <c r="C23" s="6"/>
      <c r="D23" s="6"/>
      <c r="E23" s="6"/>
      <c r="F23" s="6"/>
      <c r="G23" s="6"/>
      <c r="H23" s="676"/>
      <c r="I23" s="677"/>
      <c r="J23" s="677"/>
      <c r="K23" s="678"/>
      <c r="L23" s="116"/>
      <c r="M23" s="63"/>
    </row>
    <row r="24" spans="1:13" ht="23.25" customHeight="1">
      <c r="A24" s="38" t="s">
        <v>53</v>
      </c>
      <c r="B24" s="109">
        <v>10</v>
      </c>
      <c r="C24" s="13">
        <v>0.73</v>
      </c>
      <c r="D24" s="13">
        <v>0.76</v>
      </c>
      <c r="E24" s="13">
        <v>0.79</v>
      </c>
      <c r="F24" s="13">
        <v>0.82</v>
      </c>
      <c r="G24" s="13">
        <v>0.85</v>
      </c>
      <c r="H24" s="672" t="s">
        <v>82</v>
      </c>
      <c r="I24" s="672"/>
      <c r="J24" s="672"/>
      <c r="K24" s="673"/>
      <c r="L24" s="114">
        <f>'[1]6 เดือน'!$L$24</f>
        <v>1</v>
      </c>
      <c r="M24" s="61">
        <f>IF(L24=0,"-",L24*B24/B$94)</f>
        <v>0.1</v>
      </c>
    </row>
    <row r="25" spans="1:13" ht="23.25" customHeight="1">
      <c r="A25" s="40" t="s">
        <v>21</v>
      </c>
      <c r="B25" s="5"/>
      <c r="C25" s="12"/>
      <c r="D25" s="12"/>
      <c r="E25" s="12"/>
      <c r="F25" s="12"/>
      <c r="G25" s="12"/>
      <c r="H25" s="657" t="s">
        <v>83</v>
      </c>
      <c r="I25" s="674"/>
      <c r="J25" s="674"/>
      <c r="K25" s="658"/>
      <c r="L25" s="115"/>
      <c r="M25" s="62"/>
    </row>
    <row r="26" spans="1:13" ht="23.25" customHeight="1">
      <c r="A26" s="46"/>
      <c r="B26" s="5"/>
      <c r="C26" s="12"/>
      <c r="D26" s="12"/>
      <c r="E26" s="12"/>
      <c r="F26" s="12"/>
      <c r="G26" s="12"/>
      <c r="H26" s="657" t="s">
        <v>55</v>
      </c>
      <c r="I26" s="674"/>
      <c r="J26" s="674"/>
      <c r="K26" s="658"/>
      <c r="L26" s="115"/>
      <c r="M26" s="62"/>
    </row>
    <row r="27" spans="1:13" ht="23.25" customHeight="1">
      <c r="A27" s="46"/>
      <c r="B27" s="5"/>
      <c r="C27" s="12"/>
      <c r="D27" s="12"/>
      <c r="E27" s="12"/>
      <c r="F27" s="12"/>
      <c r="G27" s="12"/>
      <c r="H27" s="224"/>
      <c r="I27" s="48" t="s">
        <v>56</v>
      </c>
      <c r="J27" s="111">
        <v>36.14</v>
      </c>
      <c r="K27" s="218" t="s">
        <v>51</v>
      </c>
      <c r="L27" s="115"/>
      <c r="M27" s="62"/>
    </row>
    <row r="28" spans="1:13" ht="23.25" customHeight="1">
      <c r="A28" s="49"/>
      <c r="B28" s="14"/>
      <c r="C28" s="6"/>
      <c r="D28" s="6"/>
      <c r="E28" s="6"/>
      <c r="F28" s="6"/>
      <c r="G28" s="6"/>
      <c r="H28" s="96"/>
      <c r="I28" s="97"/>
      <c r="J28" s="97"/>
      <c r="K28" s="98"/>
      <c r="L28" s="116"/>
      <c r="M28" s="63"/>
    </row>
    <row r="29" spans="1:13" ht="24.75" customHeight="1">
      <c r="A29" s="38" t="s">
        <v>22</v>
      </c>
      <c r="B29" s="109">
        <v>5</v>
      </c>
      <c r="C29" s="15">
        <v>0.92</v>
      </c>
      <c r="D29" s="15">
        <v>0.94</v>
      </c>
      <c r="E29" s="15">
        <v>0.96</v>
      </c>
      <c r="F29" s="15">
        <v>0.98</v>
      </c>
      <c r="G29" s="15">
        <v>1</v>
      </c>
      <c r="H29" s="675" t="s">
        <v>57</v>
      </c>
      <c r="I29" s="672"/>
      <c r="J29" s="672"/>
      <c r="K29" s="673"/>
      <c r="L29" s="114">
        <f>'[1]6 เดือน'!$L$29</f>
        <v>1</v>
      </c>
      <c r="M29" s="61">
        <f>IF(L29=0,"-",L29*B29/B$94)</f>
        <v>0.05</v>
      </c>
    </row>
    <row r="30" spans="1:13" ht="24.75" customHeight="1">
      <c r="A30" s="40" t="s">
        <v>23</v>
      </c>
      <c r="B30" s="5"/>
      <c r="C30" s="12"/>
      <c r="D30" s="12"/>
      <c r="E30" s="12"/>
      <c r="F30" s="12"/>
      <c r="G30" s="12"/>
      <c r="H30" s="657" t="s">
        <v>58</v>
      </c>
      <c r="I30" s="674"/>
      <c r="J30" s="674"/>
      <c r="K30" s="658"/>
      <c r="L30" s="115"/>
      <c r="M30" s="62"/>
    </row>
    <row r="31" spans="1:13" ht="24.75" customHeight="1">
      <c r="A31" s="40" t="s">
        <v>24</v>
      </c>
      <c r="B31" s="5"/>
      <c r="C31" s="12"/>
      <c r="D31" s="12"/>
      <c r="E31" s="12"/>
      <c r="F31" s="12"/>
      <c r="G31" s="12"/>
      <c r="H31" s="657" t="s">
        <v>77</v>
      </c>
      <c r="I31" s="674"/>
      <c r="J31" s="674"/>
      <c r="K31" s="658"/>
      <c r="L31" s="115"/>
      <c r="M31" s="62"/>
    </row>
    <row r="32" spans="1:13" ht="24.75" customHeight="1">
      <c r="A32" s="46"/>
      <c r="B32" s="5"/>
      <c r="C32" s="12"/>
      <c r="D32" s="12"/>
      <c r="E32" s="12"/>
      <c r="F32" s="12"/>
      <c r="G32" s="12"/>
      <c r="H32" s="657" t="s">
        <v>59</v>
      </c>
      <c r="I32" s="674"/>
      <c r="J32" s="674"/>
      <c r="K32" s="658"/>
      <c r="L32" s="115"/>
      <c r="M32" s="62"/>
    </row>
    <row r="33" spans="1:13" ht="24.75" customHeight="1">
      <c r="A33" s="46"/>
      <c r="B33" s="5"/>
      <c r="C33" s="12"/>
      <c r="D33" s="12"/>
      <c r="E33" s="12"/>
      <c r="F33" s="12"/>
      <c r="G33" s="12"/>
      <c r="H33" s="217"/>
      <c r="I33" s="48" t="s">
        <v>56</v>
      </c>
      <c r="J33" s="111">
        <v>41.67</v>
      </c>
      <c r="K33" s="218" t="s">
        <v>51</v>
      </c>
      <c r="L33" s="115"/>
      <c r="M33" s="62"/>
    </row>
    <row r="34" spans="1:13" ht="24.75" customHeight="1">
      <c r="A34" s="46"/>
      <c r="B34" s="5"/>
      <c r="C34" s="12"/>
      <c r="D34" s="12"/>
      <c r="E34" s="12"/>
      <c r="F34" s="12"/>
      <c r="G34" s="12"/>
      <c r="H34" s="77"/>
      <c r="I34" s="70"/>
      <c r="J34" s="70"/>
      <c r="K34" s="78"/>
      <c r="L34" s="115"/>
      <c r="M34" s="62"/>
    </row>
    <row r="35" spans="1:13" ht="24.75" customHeight="1">
      <c r="A35" s="38" t="s">
        <v>25</v>
      </c>
      <c r="B35" s="109">
        <v>10</v>
      </c>
      <c r="C35" s="15">
        <v>0.96</v>
      </c>
      <c r="D35" s="15">
        <v>0.97</v>
      </c>
      <c r="E35" s="15">
        <v>0.98</v>
      </c>
      <c r="F35" s="15">
        <v>0.99</v>
      </c>
      <c r="G35" s="15">
        <v>1</v>
      </c>
      <c r="H35" s="675" t="s">
        <v>73</v>
      </c>
      <c r="I35" s="672"/>
      <c r="J35" s="672"/>
      <c r="K35" s="673"/>
      <c r="L35" s="114">
        <v>1</v>
      </c>
      <c r="M35" s="61">
        <f>IF(L35=0,"-",L35*B35/B$94)</f>
        <v>0.1</v>
      </c>
    </row>
    <row r="36" spans="1:13" ht="24.75" customHeight="1">
      <c r="A36" s="40" t="s">
        <v>26</v>
      </c>
      <c r="B36" s="5"/>
      <c r="C36" s="12"/>
      <c r="D36" s="12"/>
      <c r="E36" s="12"/>
      <c r="F36" s="12"/>
      <c r="G36" s="12"/>
      <c r="H36" s="680" t="s">
        <v>74</v>
      </c>
      <c r="I36" s="681"/>
      <c r="J36" s="681"/>
      <c r="K36" s="682"/>
      <c r="L36" s="115"/>
      <c r="M36" s="62"/>
    </row>
    <row r="37" spans="1:13" ht="24.75" customHeight="1">
      <c r="A37" s="46"/>
      <c r="B37" s="5"/>
      <c r="C37" s="12"/>
      <c r="D37" s="12"/>
      <c r="E37" s="12"/>
      <c r="F37" s="12"/>
      <c r="G37" s="12"/>
      <c r="H37" s="680" t="s">
        <v>75</v>
      </c>
      <c r="I37" s="681"/>
      <c r="J37" s="681"/>
      <c r="K37" s="682"/>
      <c r="L37" s="115"/>
      <c r="M37" s="62"/>
    </row>
    <row r="38" spans="1:13" ht="24.75" customHeight="1">
      <c r="A38" s="46"/>
      <c r="B38" s="5"/>
      <c r="C38" s="12"/>
      <c r="D38" s="12"/>
      <c r="E38" s="12"/>
      <c r="F38" s="12"/>
      <c r="G38" s="12"/>
      <c r="H38" s="680" t="s">
        <v>76</v>
      </c>
      <c r="I38" s="683"/>
      <c r="J38" s="683"/>
      <c r="K38" s="684"/>
      <c r="L38" s="115"/>
      <c r="M38" s="62"/>
    </row>
    <row r="39" spans="1:13" ht="24.75" customHeight="1">
      <c r="A39" s="46"/>
      <c r="B39" s="5"/>
      <c r="C39" s="12"/>
      <c r="D39" s="12"/>
      <c r="E39" s="12"/>
      <c r="F39" s="12"/>
      <c r="G39" s="12"/>
      <c r="H39" s="217"/>
      <c r="I39" s="48" t="s">
        <v>56</v>
      </c>
      <c r="J39" s="111">
        <v>73</v>
      </c>
      <c r="K39" s="218" t="s">
        <v>51</v>
      </c>
      <c r="L39" s="115"/>
      <c r="M39" s="62"/>
    </row>
    <row r="40" spans="1:13" ht="24.75" customHeight="1">
      <c r="A40" s="49"/>
      <c r="B40" s="14"/>
      <c r="C40" s="6"/>
      <c r="D40" s="6"/>
      <c r="E40" s="6"/>
      <c r="F40" s="6"/>
      <c r="G40" s="6"/>
      <c r="H40" s="96"/>
      <c r="I40" s="222"/>
      <c r="J40" s="222"/>
      <c r="K40" s="223"/>
      <c r="L40" s="116"/>
      <c r="M40" s="63"/>
    </row>
    <row r="41" spans="1:13" ht="24.75" customHeight="1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675" t="s">
        <v>62</v>
      </c>
      <c r="I41" s="672"/>
      <c r="J41" s="672"/>
      <c r="K41" s="673"/>
      <c r="L41" s="114">
        <f>'[1]6 เดือน'!$L$41</f>
        <v>1</v>
      </c>
      <c r="M41" s="61">
        <f>IF(L41=0,"-",L41*B41/B$94)</f>
        <v>0.1</v>
      </c>
    </row>
    <row r="42" spans="1:13" ht="24.75" customHeight="1">
      <c r="A42" s="40" t="s">
        <v>28</v>
      </c>
      <c r="B42" s="5"/>
      <c r="C42" s="17"/>
      <c r="D42" s="17"/>
      <c r="E42" s="17"/>
      <c r="F42" s="17"/>
      <c r="G42" s="17"/>
      <c r="H42" s="657" t="s">
        <v>63</v>
      </c>
      <c r="I42" s="674"/>
      <c r="J42" s="674"/>
      <c r="K42" s="658"/>
      <c r="L42" s="115"/>
      <c r="M42" s="62"/>
    </row>
    <row r="43" spans="1:13" ht="24.75" customHeight="1">
      <c r="A43" s="40" t="s">
        <v>60</v>
      </c>
      <c r="B43" s="5"/>
      <c r="C43" s="17"/>
      <c r="D43" s="17"/>
      <c r="E43" s="17"/>
      <c r="F43" s="17"/>
      <c r="G43" s="17"/>
      <c r="H43" s="657" t="s">
        <v>64</v>
      </c>
      <c r="I43" s="674"/>
      <c r="J43" s="674"/>
      <c r="K43" s="658"/>
      <c r="L43" s="115"/>
      <c r="M43" s="62"/>
    </row>
    <row r="44" spans="1:13" ht="24.75" customHeight="1">
      <c r="A44" s="40"/>
      <c r="B44" s="5"/>
      <c r="C44" s="17"/>
      <c r="D44" s="17"/>
      <c r="E44" s="17"/>
      <c r="F44" s="17"/>
      <c r="G44" s="17"/>
      <c r="H44" s="224" t="s">
        <v>65</v>
      </c>
      <c r="I44" s="51"/>
      <c r="J44" s="92"/>
      <c r="K44" s="225"/>
      <c r="L44" s="115"/>
      <c r="M44" s="62"/>
    </row>
    <row r="45" spans="1:13" ht="24.75" customHeight="1">
      <c r="A45" s="40"/>
      <c r="B45" s="5"/>
      <c r="C45" s="17"/>
      <c r="D45" s="17"/>
      <c r="E45" s="17"/>
      <c r="F45" s="17"/>
      <c r="G45" s="17"/>
      <c r="H45" s="224"/>
      <c r="I45" s="51" t="s">
        <v>66</v>
      </c>
      <c r="J45" s="227">
        <v>104</v>
      </c>
      <c r="K45" s="225" t="s">
        <v>61</v>
      </c>
      <c r="L45" s="115"/>
      <c r="M45" s="62"/>
    </row>
    <row r="46" spans="1:13" ht="24.75" customHeight="1">
      <c r="A46" s="40"/>
      <c r="B46" s="5"/>
      <c r="C46" s="17"/>
      <c r="D46" s="17"/>
      <c r="E46" s="17"/>
      <c r="F46" s="17"/>
      <c r="G46" s="17"/>
      <c r="H46" s="224"/>
      <c r="I46" s="51" t="s">
        <v>67</v>
      </c>
      <c r="J46" s="111">
        <v>0</v>
      </c>
      <c r="K46" s="225" t="s">
        <v>61</v>
      </c>
      <c r="L46" s="115"/>
      <c r="M46" s="62"/>
    </row>
    <row r="47" spans="1:13" ht="24.75" customHeight="1">
      <c r="A47" s="40"/>
      <c r="B47" s="5"/>
      <c r="C47" s="17"/>
      <c r="D47" s="17"/>
      <c r="E47" s="17"/>
      <c r="F47" s="17"/>
      <c r="G47" s="17"/>
      <c r="H47" s="217"/>
      <c r="I47" s="48" t="s">
        <v>81</v>
      </c>
      <c r="J47" s="111">
        <v>0</v>
      </c>
      <c r="K47" s="218" t="s">
        <v>51</v>
      </c>
      <c r="L47" s="115"/>
      <c r="M47" s="62"/>
    </row>
    <row r="48" spans="1:13" ht="25.5">
      <c r="A48" s="40"/>
      <c r="B48" s="5"/>
      <c r="C48" s="17"/>
      <c r="D48" s="17"/>
      <c r="E48" s="17"/>
      <c r="F48" s="17"/>
      <c r="G48" s="17"/>
      <c r="H48" s="679"/>
      <c r="I48" s="677"/>
      <c r="J48" s="677"/>
      <c r="K48" s="678"/>
      <c r="L48" s="115"/>
      <c r="M48" s="62"/>
    </row>
    <row r="49" spans="1:13" ht="24.75" customHeight="1">
      <c r="A49" s="38" t="s">
        <v>68</v>
      </c>
      <c r="B49" s="109">
        <v>5</v>
      </c>
      <c r="C49" s="15">
        <v>0.5</v>
      </c>
      <c r="D49" s="15">
        <v>0.75</v>
      </c>
      <c r="E49" s="15">
        <v>1</v>
      </c>
      <c r="F49" s="15">
        <v>1</v>
      </c>
      <c r="G49" s="15">
        <v>1</v>
      </c>
      <c r="H49" s="675" t="s">
        <v>78</v>
      </c>
      <c r="I49" s="672"/>
      <c r="J49" s="672"/>
      <c r="K49" s="673"/>
      <c r="L49" s="114">
        <f>'[1]6 เดือน'!$L$49</f>
        <v>1</v>
      </c>
      <c r="M49" s="61">
        <f>IF(L49=0,"-",L49*B49/B$94)</f>
        <v>0.05</v>
      </c>
    </row>
    <row r="50" spans="1:13" ht="24.75" customHeight="1">
      <c r="A50" s="40" t="s">
        <v>69</v>
      </c>
      <c r="B50" s="3"/>
      <c r="C50" s="18"/>
      <c r="D50" s="18"/>
      <c r="E50" s="18"/>
      <c r="F50" s="18" t="s">
        <v>70</v>
      </c>
      <c r="G50" s="18" t="s">
        <v>70</v>
      </c>
      <c r="H50" s="674" t="s">
        <v>79</v>
      </c>
      <c r="I50" s="674"/>
      <c r="J50" s="674"/>
      <c r="K50" s="658"/>
      <c r="L50" s="115"/>
      <c r="M50" s="62"/>
    </row>
    <row r="51" spans="1:13" ht="24.75" customHeight="1">
      <c r="A51" s="40"/>
      <c r="B51" s="3"/>
      <c r="C51" s="18"/>
      <c r="D51" s="18"/>
      <c r="E51" s="18"/>
      <c r="F51" s="18" t="s">
        <v>71</v>
      </c>
      <c r="G51" s="18" t="s">
        <v>72</v>
      </c>
      <c r="H51" s="674" t="s">
        <v>80</v>
      </c>
      <c r="I51" s="674"/>
      <c r="J51" s="674"/>
      <c r="K51" s="658"/>
      <c r="L51" s="115"/>
      <c r="M51" s="62"/>
    </row>
    <row r="52" spans="1:13" ht="24.75" customHeight="1">
      <c r="A52" s="40"/>
      <c r="B52" s="3"/>
      <c r="C52" s="19"/>
      <c r="D52" s="19"/>
      <c r="E52" s="19"/>
      <c r="F52" s="19"/>
      <c r="G52" s="19"/>
      <c r="H52" s="217"/>
      <c r="I52" s="48" t="s">
        <v>56</v>
      </c>
      <c r="J52" s="111">
        <v>0</v>
      </c>
      <c r="K52" s="218" t="s">
        <v>51</v>
      </c>
      <c r="L52" s="115"/>
      <c r="M52" s="62"/>
    </row>
    <row r="53" spans="1:13" ht="25.5">
      <c r="A53" s="50"/>
      <c r="B53" s="14"/>
      <c r="C53" s="6"/>
      <c r="D53" s="6"/>
      <c r="E53" s="6"/>
      <c r="F53" s="6"/>
      <c r="G53" s="6"/>
      <c r="H53" s="679"/>
      <c r="I53" s="685"/>
      <c r="J53" s="685"/>
      <c r="K53" s="686"/>
      <c r="L53" s="116"/>
      <c r="M53" s="63"/>
    </row>
    <row r="54" spans="1:13" ht="24.75" customHeight="1">
      <c r="A54" s="38" t="s">
        <v>84</v>
      </c>
      <c r="B54" s="109">
        <v>10</v>
      </c>
      <c r="C54" s="15">
        <v>0.78</v>
      </c>
      <c r="D54" s="15">
        <v>0.81</v>
      </c>
      <c r="E54" s="15">
        <v>0.84</v>
      </c>
      <c r="F54" s="15">
        <v>0.87</v>
      </c>
      <c r="G54" s="15">
        <v>0.9</v>
      </c>
      <c r="H54" s="675" t="s">
        <v>99</v>
      </c>
      <c r="I54" s="672"/>
      <c r="J54" s="672"/>
      <c r="K54" s="673"/>
      <c r="L54" s="114">
        <v>1</v>
      </c>
      <c r="M54" s="61">
        <f>IF(L54=0,"-",L54*B54/B$94)</f>
        <v>0.1</v>
      </c>
    </row>
    <row r="55" spans="1:13" ht="24.75" customHeight="1">
      <c r="A55" s="40" t="s">
        <v>85</v>
      </c>
      <c r="B55" s="5"/>
      <c r="C55" s="17"/>
      <c r="D55" s="17"/>
      <c r="E55" s="17"/>
      <c r="F55" s="17"/>
      <c r="G55" s="17"/>
      <c r="H55" s="657" t="s">
        <v>100</v>
      </c>
      <c r="I55" s="674"/>
      <c r="J55" s="674"/>
      <c r="K55" s="658"/>
      <c r="L55" s="115"/>
      <c r="M55" s="62"/>
    </row>
    <row r="56" spans="1:13" ht="24.75" customHeight="1">
      <c r="A56" s="46"/>
      <c r="B56" s="5"/>
      <c r="C56" s="17"/>
      <c r="D56" s="17"/>
      <c r="E56" s="17"/>
      <c r="F56" s="17"/>
      <c r="G56" s="17"/>
      <c r="H56" s="48"/>
      <c r="I56" s="48" t="s">
        <v>87</v>
      </c>
      <c r="J56" s="111">
        <v>4405.8900000000003</v>
      </c>
      <c r="K56" s="218" t="s">
        <v>34</v>
      </c>
      <c r="L56" s="115"/>
      <c r="M56" s="62"/>
    </row>
    <row r="57" spans="1:13" ht="24.75" customHeight="1">
      <c r="A57" s="46"/>
      <c r="B57" s="5"/>
      <c r="C57" s="17"/>
      <c r="D57" s="17"/>
      <c r="E57" s="17"/>
      <c r="F57" s="17"/>
      <c r="G57" s="17"/>
      <c r="H57" s="48"/>
      <c r="I57" s="48" t="s">
        <v>86</v>
      </c>
      <c r="J57" s="111">
        <v>2123.63</v>
      </c>
      <c r="K57" s="218" t="s">
        <v>34</v>
      </c>
      <c r="L57" s="115"/>
      <c r="M57" s="62"/>
    </row>
    <row r="58" spans="1:13" ht="24.75" customHeight="1">
      <c r="A58" s="46"/>
      <c r="B58" s="5"/>
      <c r="C58" s="17"/>
      <c r="D58" s="17"/>
      <c r="E58" s="17"/>
      <c r="F58" s="17"/>
      <c r="G58" s="17"/>
      <c r="H58" s="48"/>
      <c r="I58" s="48" t="s">
        <v>88</v>
      </c>
      <c r="J58" s="111">
        <f>J57*100/J56</f>
        <v>48.199796181929187</v>
      </c>
      <c r="K58" s="218" t="s">
        <v>51</v>
      </c>
      <c r="L58" s="115"/>
      <c r="M58" s="62"/>
    </row>
    <row r="59" spans="1:13" ht="27.75" customHeight="1">
      <c r="A59" s="49"/>
      <c r="B59" s="14"/>
      <c r="C59" s="20"/>
      <c r="D59" s="20"/>
      <c r="E59" s="20"/>
      <c r="F59" s="20"/>
      <c r="G59" s="20"/>
      <c r="H59" s="102"/>
      <c r="I59" s="222"/>
      <c r="J59" s="103"/>
      <c r="K59" s="223"/>
      <c r="L59" s="116"/>
      <c r="M59" s="63"/>
    </row>
    <row r="60" spans="1:13" ht="24.75" customHeight="1">
      <c r="A60" s="38" t="s">
        <v>89</v>
      </c>
      <c r="B60" s="109">
        <v>5</v>
      </c>
      <c r="C60" s="15">
        <v>0.6</v>
      </c>
      <c r="D60" s="15">
        <v>0.65</v>
      </c>
      <c r="E60" s="15">
        <v>0.7</v>
      </c>
      <c r="F60" s="15">
        <v>0.75</v>
      </c>
      <c r="G60" s="15">
        <v>0.8</v>
      </c>
      <c r="H60" s="675" t="s">
        <v>92</v>
      </c>
      <c r="I60" s="672"/>
      <c r="J60" s="672"/>
      <c r="K60" s="673"/>
      <c r="L60" s="114">
        <f>'[1]6 เดือน'!$L$60</f>
        <v>1</v>
      </c>
      <c r="M60" s="61">
        <f>IF(L60=0,"-",L60*B60/B$94)</f>
        <v>0.05</v>
      </c>
    </row>
    <row r="61" spans="1:13" ht="24.75" customHeight="1">
      <c r="A61" s="40" t="s">
        <v>90</v>
      </c>
      <c r="B61" s="3"/>
      <c r="C61" s="21"/>
      <c r="D61" s="21"/>
      <c r="E61" s="21"/>
      <c r="F61" s="21"/>
      <c r="G61" s="21"/>
      <c r="H61" s="657" t="s">
        <v>93</v>
      </c>
      <c r="I61" s="674"/>
      <c r="J61" s="674"/>
      <c r="K61" s="658"/>
      <c r="L61" s="115"/>
      <c r="M61" s="62"/>
    </row>
    <row r="62" spans="1:13" ht="24.75" customHeight="1">
      <c r="A62" s="40" t="s">
        <v>91</v>
      </c>
      <c r="B62" s="5"/>
      <c r="C62" s="12"/>
      <c r="D62" s="12"/>
      <c r="E62" s="12"/>
      <c r="F62" s="12"/>
      <c r="G62" s="12"/>
      <c r="H62" s="657" t="s">
        <v>94</v>
      </c>
      <c r="I62" s="674"/>
      <c r="J62" s="674"/>
      <c r="K62" s="658"/>
      <c r="L62" s="115"/>
      <c r="M62" s="62"/>
    </row>
    <row r="63" spans="1:13" ht="24.75" customHeight="1">
      <c r="A63" s="40"/>
      <c r="B63" s="5"/>
      <c r="C63" s="12"/>
      <c r="D63" s="12"/>
      <c r="E63" s="12"/>
      <c r="F63" s="12"/>
      <c r="G63" s="12"/>
      <c r="H63" s="217" t="s">
        <v>95</v>
      </c>
      <c r="I63" s="220"/>
      <c r="J63" s="220"/>
      <c r="K63" s="218"/>
      <c r="L63" s="115"/>
      <c r="M63" s="62"/>
    </row>
    <row r="64" spans="1:13" ht="24.75" customHeight="1">
      <c r="A64" s="40"/>
      <c r="B64" s="5"/>
      <c r="C64" s="12"/>
      <c r="D64" s="12"/>
      <c r="E64" s="12"/>
      <c r="F64" s="12"/>
      <c r="G64" s="12"/>
      <c r="H64" s="224"/>
      <c r="I64" s="51" t="s">
        <v>97</v>
      </c>
      <c r="J64" s="111">
        <v>0</v>
      </c>
      <c r="K64" s="225" t="s">
        <v>96</v>
      </c>
      <c r="L64" s="115"/>
      <c r="M64" s="62"/>
    </row>
    <row r="65" spans="1:32" ht="24.75" customHeight="1">
      <c r="A65" s="46"/>
      <c r="B65" s="5"/>
      <c r="C65" s="12"/>
      <c r="D65" s="12"/>
      <c r="E65" s="12"/>
      <c r="F65" s="12"/>
      <c r="G65" s="12"/>
      <c r="H65" s="224"/>
      <c r="I65" s="51" t="s">
        <v>98</v>
      </c>
      <c r="J65" s="111">
        <v>0</v>
      </c>
      <c r="K65" s="225" t="s">
        <v>96</v>
      </c>
      <c r="L65" s="115"/>
      <c r="M65" s="62"/>
    </row>
    <row r="66" spans="1:32" ht="24.75" customHeight="1">
      <c r="A66" s="46"/>
      <c r="B66" s="5"/>
      <c r="C66" s="12"/>
      <c r="D66" s="12"/>
      <c r="E66" s="12"/>
      <c r="F66" s="12"/>
      <c r="G66" s="12"/>
      <c r="H66" s="217"/>
      <c r="I66" s="51" t="s">
        <v>35</v>
      </c>
      <c r="J66" s="111">
        <v>0</v>
      </c>
      <c r="K66" s="218" t="s">
        <v>51</v>
      </c>
      <c r="L66" s="115"/>
      <c r="M66" s="62"/>
    </row>
    <row r="67" spans="1:32" ht="24.75" customHeight="1">
      <c r="A67" s="46"/>
      <c r="B67" s="5"/>
      <c r="C67" s="12"/>
      <c r="D67" s="12"/>
      <c r="E67" s="12"/>
      <c r="F67" s="12"/>
      <c r="G67" s="12"/>
      <c r="H67" s="48"/>
      <c r="I67" s="104"/>
      <c r="J67" s="104"/>
      <c r="K67" s="105"/>
      <c r="L67" s="115"/>
      <c r="M67" s="62"/>
    </row>
    <row r="68" spans="1:32" ht="24.75" customHeight="1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675" t="s">
        <v>103</v>
      </c>
      <c r="I68" s="672"/>
      <c r="J68" s="672"/>
      <c r="K68" s="673"/>
      <c r="L68" s="114">
        <f>'[1]6 เดือน'!$L$68</f>
        <v>1</v>
      </c>
      <c r="M68" s="61">
        <f>IF(L68=0,"-",L68*B68/B$94)</f>
        <v>0.05</v>
      </c>
    </row>
    <row r="69" spans="1:32" ht="24.75" customHeight="1">
      <c r="A69" s="40" t="s">
        <v>102</v>
      </c>
      <c r="B69" s="5"/>
      <c r="C69" s="17"/>
      <c r="D69" s="17"/>
      <c r="E69" s="17"/>
      <c r="F69" s="17"/>
      <c r="G69" s="17"/>
      <c r="H69" s="657" t="s">
        <v>104</v>
      </c>
      <c r="I69" s="674"/>
      <c r="J69" s="674"/>
      <c r="K69" s="658"/>
      <c r="L69" s="115"/>
      <c r="M69" s="62"/>
    </row>
    <row r="70" spans="1:32" ht="24.75" customHeight="1">
      <c r="A70" s="40"/>
      <c r="B70" s="5"/>
      <c r="C70" s="17"/>
      <c r="D70" s="17"/>
      <c r="E70" s="17"/>
      <c r="F70" s="17"/>
      <c r="G70" s="17"/>
      <c r="H70" s="657" t="s">
        <v>105</v>
      </c>
      <c r="I70" s="674"/>
      <c r="J70" s="674"/>
      <c r="K70" s="658"/>
      <c r="L70" s="115"/>
      <c r="M70" s="62"/>
    </row>
    <row r="71" spans="1:32" ht="24.75" customHeight="1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218" t="s">
        <v>51</v>
      </c>
      <c r="L71" s="115"/>
      <c r="M71" s="62"/>
    </row>
    <row r="72" spans="1:32" ht="24.75" customHeight="1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675" t="s">
        <v>108</v>
      </c>
      <c r="I73" s="672"/>
      <c r="J73" s="672"/>
      <c r="K73" s="673"/>
      <c r="L73" s="114">
        <f>'[1]6 เดือน'!$L$73</f>
        <v>1</v>
      </c>
      <c r="M73" s="61">
        <f>IF(L73=0,"-",L73*B73/B$94)</f>
        <v>0.05</v>
      </c>
      <c r="P73" s="1"/>
    </row>
    <row r="74" spans="1:32" ht="24.75" customHeight="1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657" t="s">
        <v>109</v>
      </c>
      <c r="I74" s="674"/>
      <c r="J74" s="674"/>
      <c r="K74" s="658"/>
      <c r="L74" s="115"/>
      <c r="M74" s="62"/>
    </row>
    <row r="75" spans="1:32" ht="24.75" customHeight="1">
      <c r="A75" s="40"/>
      <c r="B75" s="5"/>
      <c r="C75" s="23"/>
      <c r="D75" s="23"/>
      <c r="E75" s="23"/>
      <c r="F75" s="23"/>
      <c r="G75" s="23"/>
      <c r="H75" s="657" t="s">
        <v>110</v>
      </c>
      <c r="I75" s="674"/>
      <c r="J75" s="674"/>
      <c r="K75" s="658"/>
      <c r="L75" s="115"/>
      <c r="M75" s="62"/>
      <c r="P75" s="52"/>
      <c r="Q75" s="52"/>
    </row>
    <row r="76" spans="1:32" ht="24.75" customHeight="1">
      <c r="A76" s="40"/>
      <c r="B76" s="5"/>
      <c r="C76" s="23"/>
      <c r="D76" s="23"/>
      <c r="E76" s="23"/>
      <c r="F76" s="23"/>
      <c r="G76" s="23"/>
      <c r="H76" s="657" t="s">
        <v>111</v>
      </c>
      <c r="I76" s="674"/>
      <c r="J76" s="674"/>
      <c r="K76" s="658"/>
      <c r="L76" s="115"/>
      <c r="M76" s="62"/>
      <c r="P76" s="52"/>
      <c r="Q76" s="52"/>
    </row>
    <row r="77" spans="1:32" ht="24.75" customHeight="1">
      <c r="A77" s="40"/>
      <c r="B77" s="5"/>
      <c r="C77" s="23"/>
      <c r="D77" s="23"/>
      <c r="E77" s="23"/>
      <c r="F77" s="23"/>
      <c r="G77" s="23"/>
      <c r="H77" s="217"/>
      <c r="I77" s="51" t="s">
        <v>112</v>
      </c>
      <c r="J77" s="111">
        <v>0</v>
      </c>
      <c r="K77" s="225"/>
      <c r="L77" s="115"/>
      <c r="M77" s="62"/>
      <c r="P77" s="53"/>
      <c r="Q77" s="53"/>
      <c r="R77" s="54"/>
    </row>
    <row r="78" spans="1:32" ht="27" customHeight="1">
      <c r="A78" s="50"/>
      <c r="B78" s="14"/>
      <c r="C78" s="20"/>
      <c r="D78" s="20"/>
      <c r="E78" s="20"/>
      <c r="F78" s="20"/>
      <c r="G78" s="20"/>
      <c r="H78" s="96"/>
      <c r="I78" s="222"/>
      <c r="J78" s="222"/>
      <c r="K78" s="223"/>
      <c r="L78" s="116"/>
      <c r="M78" s="63"/>
    </row>
    <row r="79" spans="1:32" ht="24.75" customHeight="1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675" t="s">
        <v>123</v>
      </c>
      <c r="I79" s="672"/>
      <c r="J79" s="672"/>
      <c r="K79" s="673"/>
      <c r="L79" s="114">
        <f>'[2]8 เดือน'!$L$79</f>
        <v>4.4251336898395728</v>
      </c>
      <c r="M79" s="61">
        <f>IF(L79=0,"-",L79*B79/B$94)</f>
        <v>0.22125668449197863</v>
      </c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</row>
    <row r="80" spans="1:32" ht="24.75" customHeight="1">
      <c r="A80" s="56" t="s">
        <v>36</v>
      </c>
      <c r="B80" s="27"/>
      <c r="C80" s="17"/>
      <c r="D80" s="17"/>
      <c r="E80" s="17"/>
      <c r="F80" s="17"/>
      <c r="G80" s="28"/>
      <c r="H80" s="217" t="s">
        <v>124</v>
      </c>
      <c r="I80" s="92"/>
      <c r="J80" s="108"/>
      <c r="K80" s="105"/>
      <c r="L80" s="117"/>
      <c r="M80" s="62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</row>
    <row r="81" spans="1:32" ht="24.75" customHeight="1">
      <c r="A81" s="56"/>
      <c r="B81" s="27"/>
      <c r="C81" s="17"/>
      <c r="D81" s="17"/>
      <c r="E81" s="17"/>
      <c r="F81" s="17"/>
      <c r="G81" s="17"/>
      <c r="H81" s="220" t="s">
        <v>125</v>
      </c>
      <c r="I81" s="92"/>
      <c r="J81" s="108"/>
      <c r="K81" s="105"/>
      <c r="L81" s="117"/>
      <c r="M81" s="62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</row>
    <row r="82" spans="1:32" ht="24.75" customHeight="1">
      <c r="A82" s="56"/>
      <c r="B82" s="27"/>
      <c r="C82" s="17"/>
      <c r="D82" s="17"/>
      <c r="E82" s="17"/>
      <c r="F82" s="17"/>
      <c r="G82" s="17"/>
      <c r="H82" s="217" t="s">
        <v>126</v>
      </c>
      <c r="I82" s="92"/>
      <c r="J82" s="108"/>
      <c r="K82" s="105"/>
      <c r="L82" s="117"/>
      <c r="M82" s="62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</row>
    <row r="83" spans="1:32" ht="24.75" customHeight="1">
      <c r="A83" s="56"/>
      <c r="B83" s="27"/>
      <c r="C83" s="17"/>
      <c r="D83" s="17"/>
      <c r="E83" s="17"/>
      <c r="F83" s="17"/>
      <c r="G83" s="17"/>
      <c r="H83" s="217" t="s">
        <v>127</v>
      </c>
      <c r="I83" s="92"/>
      <c r="J83" s="108"/>
      <c r="K83" s="105"/>
      <c r="L83" s="117"/>
      <c r="M83" s="62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</row>
    <row r="84" spans="1:32" ht="24.75" customHeight="1">
      <c r="A84" s="56"/>
      <c r="B84" s="27"/>
      <c r="C84" s="17"/>
      <c r="D84" s="17"/>
      <c r="E84" s="17"/>
      <c r="F84" s="17"/>
      <c r="G84" s="17"/>
      <c r="H84" s="217"/>
      <c r="I84" s="51" t="s">
        <v>114</v>
      </c>
      <c r="J84" s="226">
        <f>'[2]8 เดือน'!$L$79</f>
        <v>4.4251336898395728</v>
      </c>
      <c r="K84" s="225"/>
      <c r="L84" s="117"/>
      <c r="M84" s="62"/>
      <c r="O84" s="58"/>
      <c r="P84" s="58"/>
      <c r="Q84" s="58"/>
      <c r="R84" s="58"/>
      <c r="S84" s="58"/>
      <c r="T84" s="58"/>
      <c r="U84" s="58"/>
      <c r="V84" s="59"/>
      <c r="W84" s="58"/>
      <c r="X84" s="58"/>
      <c r="Y84" s="58"/>
      <c r="Z84" s="58"/>
      <c r="AA84" s="58"/>
      <c r="AB84" s="58"/>
      <c r="AC84" s="58"/>
      <c r="AD84" s="58"/>
      <c r="AE84" s="58"/>
      <c r="AF84" s="58"/>
    </row>
    <row r="85" spans="1:32" ht="24.75" customHeight="1">
      <c r="A85" s="60"/>
      <c r="B85" s="29"/>
      <c r="C85" s="20"/>
      <c r="D85" s="20"/>
      <c r="E85" s="20"/>
      <c r="F85" s="20"/>
      <c r="G85" s="20"/>
      <c r="H85" s="97"/>
      <c r="I85" s="222"/>
      <c r="J85" s="222"/>
      <c r="K85" s="223"/>
      <c r="L85" s="118"/>
      <c r="M85" s="63"/>
    </row>
    <row r="86" spans="1:32" ht="24.75" customHeight="1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675" t="s">
        <v>117</v>
      </c>
      <c r="I86" s="672"/>
      <c r="J86" s="672"/>
      <c r="K86" s="673"/>
      <c r="L86" s="114">
        <v>3.5714000000000001</v>
      </c>
      <c r="M86" s="61">
        <f>IF(L86=0,"-",L86*B86/B$94)</f>
        <v>0.17857000000000001</v>
      </c>
    </row>
    <row r="87" spans="1:32" ht="24.75" customHeight="1">
      <c r="A87" s="40" t="s">
        <v>116</v>
      </c>
      <c r="B87" s="5"/>
      <c r="C87" s="17"/>
      <c r="D87" s="17"/>
      <c r="E87" s="17"/>
      <c r="F87" s="17"/>
      <c r="G87" s="17"/>
      <c r="H87" s="657" t="s">
        <v>118</v>
      </c>
      <c r="I87" s="674"/>
      <c r="J87" s="674"/>
      <c r="K87" s="658"/>
      <c r="L87" s="115"/>
      <c r="M87" s="62"/>
    </row>
    <row r="88" spans="1:32" ht="24.75" customHeight="1">
      <c r="A88" s="40"/>
      <c r="B88" s="5"/>
      <c r="C88" s="17"/>
      <c r="D88" s="17"/>
      <c r="E88" s="17"/>
      <c r="F88" s="17"/>
      <c r="G88" s="17"/>
      <c r="H88" s="657" t="s">
        <v>119</v>
      </c>
      <c r="I88" s="674"/>
      <c r="J88" s="674"/>
      <c r="K88" s="658"/>
      <c r="L88" s="115"/>
      <c r="M88" s="62"/>
    </row>
    <row r="89" spans="1:32" ht="24.75" customHeight="1">
      <c r="A89" s="40"/>
      <c r="B89" s="5"/>
      <c r="C89" s="17"/>
      <c r="D89" s="17"/>
      <c r="E89" s="17"/>
      <c r="F89" s="17"/>
      <c r="G89" s="17"/>
      <c r="H89" s="217" t="s">
        <v>120</v>
      </c>
      <c r="I89" s="220"/>
      <c r="J89" s="220"/>
      <c r="K89" s="218"/>
      <c r="L89" s="115"/>
      <c r="M89" s="62"/>
    </row>
    <row r="90" spans="1:32" ht="24.75" customHeight="1">
      <c r="A90" s="40"/>
      <c r="B90" s="5"/>
      <c r="C90" s="17"/>
      <c r="D90" s="17"/>
      <c r="E90" s="17"/>
      <c r="F90" s="17"/>
      <c r="G90" s="17"/>
      <c r="H90" s="217" t="s">
        <v>121</v>
      </c>
      <c r="I90" s="220"/>
      <c r="J90" s="220"/>
      <c r="K90" s="218"/>
      <c r="L90" s="115"/>
      <c r="M90" s="62"/>
    </row>
    <row r="91" spans="1:32" ht="24.75" customHeight="1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2">
        <v>92.86</v>
      </c>
      <c r="K91" s="218" t="s">
        <v>51</v>
      </c>
      <c r="L91" s="115"/>
      <c r="M91" s="62"/>
    </row>
    <row r="92" spans="1:32" ht="24.75" customHeight="1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>
      <c r="A93" s="687" t="s">
        <v>129</v>
      </c>
      <c r="B93" s="688"/>
      <c r="C93" s="688"/>
      <c r="D93" s="688"/>
      <c r="E93" s="688"/>
      <c r="F93" s="688"/>
      <c r="G93" s="688"/>
      <c r="H93" s="688"/>
      <c r="I93" s="688"/>
      <c r="J93" s="688"/>
      <c r="K93" s="688"/>
      <c r="L93" s="689"/>
      <c r="M93" s="67">
        <f>SUM(M86,M79,M73,M68,M60,M54,M49,M41,M35,M29,M24,M17,M9,M6)</f>
        <v>1.444826684491979</v>
      </c>
    </row>
    <row r="94" spans="1:32">
      <c r="B94" s="82">
        <f>SUM(B6:B92)</f>
        <v>100</v>
      </c>
    </row>
  </sheetData>
  <mergeCells count="53">
    <mergeCell ref="H9:I10"/>
    <mergeCell ref="J9:K9"/>
    <mergeCell ref="A1:M1"/>
    <mergeCell ref="A2:M2"/>
    <mergeCell ref="C4:G4"/>
    <mergeCell ref="H4:K5"/>
    <mergeCell ref="L4:L5"/>
    <mergeCell ref="H25:K25"/>
    <mergeCell ref="H11:I11"/>
    <mergeCell ref="H13:I13"/>
    <mergeCell ref="H14:I14"/>
    <mergeCell ref="H15:I15"/>
    <mergeCell ref="H17:K17"/>
    <mergeCell ref="H18:K18"/>
    <mergeCell ref="H19:K19"/>
    <mergeCell ref="H20:K20"/>
    <mergeCell ref="H21:K21"/>
    <mergeCell ref="H23:K23"/>
    <mergeCell ref="H24:K24"/>
    <mergeCell ref="H43:K43"/>
    <mergeCell ref="H26:K26"/>
    <mergeCell ref="H29:K29"/>
    <mergeCell ref="H30:K30"/>
    <mergeCell ref="H31:K31"/>
    <mergeCell ref="H32:K32"/>
    <mergeCell ref="H35:K35"/>
    <mergeCell ref="H36:K36"/>
    <mergeCell ref="H37:K37"/>
    <mergeCell ref="H38:K38"/>
    <mergeCell ref="H41:K41"/>
    <mergeCell ref="H42:K42"/>
    <mergeCell ref="H69:K69"/>
    <mergeCell ref="H48:K48"/>
    <mergeCell ref="H49:K49"/>
    <mergeCell ref="H50:K50"/>
    <mergeCell ref="H51:K51"/>
    <mergeCell ref="H53:K53"/>
    <mergeCell ref="H54:K54"/>
    <mergeCell ref="H55:K55"/>
    <mergeCell ref="H60:K60"/>
    <mergeCell ref="H61:K61"/>
    <mergeCell ref="H62:K62"/>
    <mergeCell ref="H68:K68"/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</mergeCells>
  <printOptions horizontalCentered="1"/>
  <pageMargins left="0.19685039370078741" right="0.19685039370078741" top="0.55118110236220474" bottom="0.27559055118110237" header="0.19685039370078741" footer="0.47244094488188981"/>
  <pageSetup paperSize="9" scale="80" orientation="landscape" r:id="rId1"/>
  <headerFooter scaleWithDoc="0">
    <oddHeader>&amp;R&amp;"TH SarabunIT๙,ธรรมดา"&amp;16&amp;P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F94"/>
  <sheetViews>
    <sheetView topLeftCell="A43"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/>
  <cols>
    <col min="1" max="1" width="38" style="95" customWidth="1"/>
    <col min="2" max="2" width="9.7109375" style="95" customWidth="1"/>
    <col min="3" max="3" width="9.85546875" style="95" customWidth="1"/>
    <col min="4" max="7" width="9.28515625" style="95" customWidth="1"/>
    <col min="8" max="9" width="9.85546875" style="95" customWidth="1"/>
    <col min="10" max="10" width="13.140625" style="95" customWidth="1"/>
    <col min="11" max="11" width="27.28515625" style="95" customWidth="1"/>
    <col min="12" max="12" width="11.5703125" style="95" customWidth="1"/>
    <col min="13" max="13" width="11.140625" style="95" customWidth="1"/>
    <col min="14" max="16384" width="9.140625" style="95"/>
  </cols>
  <sheetData>
    <row r="1" spans="1:16" ht="27.75">
      <c r="A1" s="690" t="s">
        <v>0</v>
      </c>
      <c r="B1" s="691"/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</row>
    <row r="2" spans="1:16" ht="27.75">
      <c r="A2" s="690" t="s">
        <v>45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</row>
    <row r="3" spans="1:16" ht="26.25" customHeight="1">
      <c r="A3" s="247" t="s">
        <v>134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9" t="s">
        <v>37</v>
      </c>
    </row>
    <row r="4" spans="1:16" s="251" customFormat="1" ht="24.75" customHeight="1">
      <c r="A4" s="26" t="s">
        <v>1</v>
      </c>
      <c r="B4" s="26" t="s">
        <v>2</v>
      </c>
      <c r="C4" s="692" t="s">
        <v>3</v>
      </c>
      <c r="D4" s="692"/>
      <c r="E4" s="692"/>
      <c r="F4" s="692"/>
      <c r="G4" s="692"/>
      <c r="H4" s="693" t="s">
        <v>4</v>
      </c>
      <c r="I4" s="694"/>
      <c r="J4" s="694"/>
      <c r="K4" s="695"/>
      <c r="L4" s="699" t="s">
        <v>5</v>
      </c>
      <c r="M4" s="250" t="s">
        <v>6</v>
      </c>
    </row>
    <row r="5" spans="1:16" s="251" customFormat="1" ht="24.75" customHeight="1">
      <c r="A5" s="63" t="s">
        <v>7</v>
      </c>
      <c r="B5" s="63" t="s">
        <v>8</v>
      </c>
      <c r="C5" s="252">
        <v>1</v>
      </c>
      <c r="D5" s="252">
        <v>2</v>
      </c>
      <c r="E5" s="252">
        <v>3</v>
      </c>
      <c r="F5" s="252">
        <v>4</v>
      </c>
      <c r="G5" s="252">
        <v>5</v>
      </c>
      <c r="H5" s="696"/>
      <c r="I5" s="697"/>
      <c r="J5" s="697"/>
      <c r="K5" s="698"/>
      <c r="L5" s="699"/>
      <c r="M5" s="253" t="s">
        <v>9</v>
      </c>
    </row>
    <row r="6" spans="1:16" ht="23.25" customHeight="1">
      <c r="A6" s="38" t="s">
        <v>10</v>
      </c>
      <c r="B6" s="109">
        <v>10</v>
      </c>
      <c r="C6" s="242">
        <v>0.6</v>
      </c>
      <c r="D6" s="242">
        <v>0.7</v>
      </c>
      <c r="E6" s="242">
        <v>0.8</v>
      </c>
      <c r="F6" s="242">
        <v>0.9</v>
      </c>
      <c r="G6" s="242">
        <v>1</v>
      </c>
      <c r="H6" s="231" t="s">
        <v>128</v>
      </c>
      <c r="I6" s="68"/>
      <c r="J6" s="68"/>
      <c r="K6" s="69"/>
      <c r="L6" s="243">
        <f>[3]กส8!$L$6</f>
        <v>2.6640000000000001</v>
      </c>
      <c r="M6" s="61">
        <f>IF(L6=0,"-",L6*B6/B$94)</f>
        <v>0.26640000000000003</v>
      </c>
    </row>
    <row r="7" spans="1:16" ht="23.25" customHeight="1">
      <c r="A7" s="39" t="s">
        <v>12</v>
      </c>
      <c r="B7" s="3"/>
      <c r="C7" s="244"/>
      <c r="D7" s="244"/>
      <c r="E7" s="244"/>
      <c r="F7" s="244"/>
      <c r="G7" s="244"/>
      <c r="H7" s="229" t="s">
        <v>40</v>
      </c>
      <c r="I7" s="70"/>
      <c r="J7" s="245">
        <f>[3]กส8!$J$7</f>
        <v>76.643000000000001</v>
      </c>
      <c r="K7" s="71" t="s">
        <v>51</v>
      </c>
      <c r="L7" s="115"/>
      <c r="M7" s="62"/>
    </row>
    <row r="8" spans="1:16" ht="23.25" customHeight="1">
      <c r="A8" s="40"/>
      <c r="B8" s="5"/>
      <c r="C8" s="20"/>
      <c r="D8" s="20"/>
      <c r="E8" s="20"/>
      <c r="F8" s="20"/>
      <c r="G8" s="20"/>
      <c r="H8" s="28"/>
      <c r="I8" s="70"/>
      <c r="J8" s="70"/>
      <c r="K8" s="78"/>
      <c r="L8" s="115"/>
      <c r="M8" s="62"/>
    </row>
    <row r="9" spans="1:16" ht="23.25" customHeight="1">
      <c r="A9" s="38" t="s">
        <v>13</v>
      </c>
      <c r="B9" s="109">
        <v>10</v>
      </c>
      <c r="C9" s="240">
        <v>12456</v>
      </c>
      <c r="D9" s="241">
        <v>14532</v>
      </c>
      <c r="E9" s="241">
        <v>16608</v>
      </c>
      <c r="F9" s="241">
        <v>18684</v>
      </c>
      <c r="G9" s="241">
        <v>20760</v>
      </c>
      <c r="H9" s="652" t="s">
        <v>14</v>
      </c>
      <c r="I9" s="653"/>
      <c r="J9" s="654" t="s">
        <v>15</v>
      </c>
      <c r="K9" s="654"/>
      <c r="L9" s="243">
        <v>1</v>
      </c>
      <c r="M9" s="61">
        <f>IF(L9=0,"-",L9*B9/B$94)</f>
        <v>0.1</v>
      </c>
      <c r="O9" s="254"/>
      <c r="P9" s="255"/>
    </row>
    <row r="10" spans="1:16" ht="23.25" customHeight="1">
      <c r="A10" s="40" t="s">
        <v>16</v>
      </c>
      <c r="B10" s="3"/>
      <c r="C10" s="256" t="s">
        <v>38</v>
      </c>
      <c r="D10" s="256" t="s">
        <v>38</v>
      </c>
      <c r="E10" s="256" t="s">
        <v>39</v>
      </c>
      <c r="F10" s="256" t="s">
        <v>38</v>
      </c>
      <c r="G10" s="256" t="s">
        <v>38</v>
      </c>
      <c r="H10" s="652"/>
      <c r="I10" s="653"/>
      <c r="J10" s="237" t="s">
        <v>17</v>
      </c>
      <c r="K10" s="237" t="s">
        <v>18</v>
      </c>
      <c r="L10" s="115"/>
      <c r="M10" s="62"/>
      <c r="O10" s="254"/>
      <c r="P10" s="257"/>
    </row>
    <row r="11" spans="1:16" ht="23.25" customHeight="1">
      <c r="A11" s="40"/>
      <c r="B11" s="3"/>
      <c r="C11" s="258"/>
      <c r="D11" s="258"/>
      <c r="E11" s="258"/>
      <c r="F11" s="258"/>
      <c r="G11" s="258"/>
      <c r="H11" s="655" t="s">
        <v>19</v>
      </c>
      <c r="I11" s="656"/>
      <c r="J11" s="73">
        <v>19000</v>
      </c>
      <c r="K11" s="64">
        <f>[4]กส14!$K$11</f>
        <v>10000</v>
      </c>
      <c r="L11" s="115"/>
      <c r="M11" s="62"/>
    </row>
    <row r="12" spans="1:16" ht="23.25" customHeight="1">
      <c r="A12" s="40"/>
      <c r="B12" s="5"/>
      <c r="C12" s="259"/>
      <c r="D12" s="17"/>
      <c r="E12" s="17"/>
      <c r="F12" s="17"/>
      <c r="G12" s="17"/>
      <c r="H12" s="231" t="s">
        <v>41</v>
      </c>
      <c r="I12" s="232"/>
      <c r="J12" s="74">
        <v>1760</v>
      </c>
      <c r="K12" s="65" t="s">
        <v>11</v>
      </c>
      <c r="L12" s="115"/>
      <c r="M12" s="62"/>
    </row>
    <row r="13" spans="1:16" ht="23.25" customHeight="1">
      <c r="A13" s="40"/>
      <c r="B13" s="5"/>
      <c r="C13" s="17"/>
      <c r="D13" s="17"/>
      <c r="E13" s="17"/>
      <c r="F13" s="17"/>
      <c r="G13" s="17"/>
      <c r="H13" s="657" t="s">
        <v>42</v>
      </c>
      <c r="I13" s="658"/>
      <c r="J13" s="86"/>
      <c r="K13" s="87"/>
      <c r="L13" s="115"/>
      <c r="M13" s="62"/>
    </row>
    <row r="14" spans="1:16" ht="23.25" customHeight="1">
      <c r="A14" s="40"/>
      <c r="B14" s="5"/>
      <c r="C14" s="17"/>
      <c r="D14" s="17"/>
      <c r="E14" s="17"/>
      <c r="F14" s="17"/>
      <c r="G14" s="17"/>
      <c r="H14" s="669" t="s">
        <v>43</v>
      </c>
      <c r="I14" s="670"/>
      <c r="J14" s="88"/>
      <c r="K14" s="89"/>
      <c r="L14" s="115"/>
      <c r="M14" s="62"/>
    </row>
    <row r="15" spans="1:16" ht="23.25" customHeight="1" thickBot="1">
      <c r="A15" s="40"/>
      <c r="B15" s="5"/>
      <c r="C15" s="17"/>
      <c r="D15" s="17"/>
      <c r="E15" s="17"/>
      <c r="F15" s="17"/>
      <c r="G15" s="17"/>
      <c r="H15" s="671" t="s">
        <v>20</v>
      </c>
      <c r="I15" s="671"/>
      <c r="J15" s="90">
        <f>SUM(J11:J12)</f>
        <v>20760</v>
      </c>
      <c r="K15" s="91">
        <f>SUM(K11:K12)</f>
        <v>10000</v>
      </c>
      <c r="L15" s="115"/>
      <c r="M15" s="62"/>
    </row>
    <row r="16" spans="1:16" ht="23.25" customHeight="1" thickTop="1">
      <c r="A16" s="40"/>
      <c r="B16" s="5"/>
      <c r="C16" s="17"/>
      <c r="D16" s="17"/>
      <c r="E16" s="17"/>
      <c r="F16" s="17"/>
      <c r="G16" s="17"/>
      <c r="H16" s="3"/>
      <c r="I16" s="92"/>
      <c r="J16" s="93"/>
      <c r="K16" s="94"/>
      <c r="L16" s="115"/>
      <c r="M16" s="62"/>
    </row>
    <row r="17" spans="1:13" ht="23.25" customHeight="1">
      <c r="A17" s="38" t="s">
        <v>52</v>
      </c>
      <c r="B17" s="109">
        <v>5</v>
      </c>
      <c r="C17" s="242">
        <v>0.65</v>
      </c>
      <c r="D17" s="242">
        <v>0.7</v>
      </c>
      <c r="E17" s="242">
        <v>0.75</v>
      </c>
      <c r="F17" s="242">
        <v>0.8</v>
      </c>
      <c r="G17" s="242">
        <v>0.85</v>
      </c>
      <c r="H17" s="675" t="s">
        <v>46</v>
      </c>
      <c r="I17" s="672"/>
      <c r="J17" s="672"/>
      <c r="K17" s="673"/>
      <c r="L17" s="243">
        <f>'[1]6 เดือน'!$L$17</f>
        <v>1</v>
      </c>
      <c r="M17" s="61">
        <f>IF(L17=0,"-",L17*B17/B$94)</f>
        <v>0.05</v>
      </c>
    </row>
    <row r="18" spans="1:13" ht="23.25" customHeight="1">
      <c r="A18" s="40" t="s">
        <v>44</v>
      </c>
      <c r="B18" s="5"/>
      <c r="C18" s="17"/>
      <c r="D18" s="17"/>
      <c r="E18" s="17"/>
      <c r="F18" s="17"/>
      <c r="G18" s="17"/>
      <c r="H18" s="657" t="s">
        <v>47</v>
      </c>
      <c r="I18" s="674"/>
      <c r="J18" s="674"/>
      <c r="K18" s="658"/>
      <c r="L18" s="115"/>
      <c r="M18" s="62"/>
    </row>
    <row r="19" spans="1:13" ht="23.25" customHeight="1">
      <c r="A19" s="40"/>
      <c r="B19" s="5"/>
      <c r="C19" s="17"/>
      <c r="D19" s="17"/>
      <c r="E19" s="17"/>
      <c r="F19" s="17"/>
      <c r="G19" s="17"/>
      <c r="H19" s="657" t="s">
        <v>48</v>
      </c>
      <c r="I19" s="674"/>
      <c r="J19" s="674"/>
      <c r="K19" s="658"/>
      <c r="L19" s="115"/>
      <c r="M19" s="62"/>
    </row>
    <row r="20" spans="1:13" ht="23.25" customHeight="1">
      <c r="A20" s="40"/>
      <c r="B20" s="5"/>
      <c r="C20" s="17"/>
      <c r="D20" s="17"/>
      <c r="E20" s="17"/>
      <c r="F20" s="17"/>
      <c r="G20" s="17"/>
      <c r="H20" s="657" t="s">
        <v>49</v>
      </c>
      <c r="I20" s="674"/>
      <c r="J20" s="674"/>
      <c r="K20" s="658"/>
      <c r="L20" s="115"/>
      <c r="M20" s="62"/>
    </row>
    <row r="21" spans="1:13" ht="23.25" customHeight="1">
      <c r="A21" s="40"/>
      <c r="B21" s="5"/>
      <c r="C21" s="17"/>
      <c r="D21" s="17"/>
      <c r="E21" s="17"/>
      <c r="F21" s="17"/>
      <c r="G21" s="17"/>
      <c r="H21" s="657" t="s">
        <v>50</v>
      </c>
      <c r="I21" s="674"/>
      <c r="J21" s="674"/>
      <c r="K21" s="658"/>
      <c r="L21" s="115"/>
      <c r="M21" s="62"/>
    </row>
    <row r="22" spans="1:13" ht="23.25" customHeight="1">
      <c r="A22" s="40"/>
      <c r="B22" s="5"/>
      <c r="C22" s="17"/>
      <c r="D22" s="17"/>
      <c r="E22" s="17"/>
      <c r="F22" s="17"/>
      <c r="G22" s="17"/>
      <c r="I22" s="51" t="s">
        <v>54</v>
      </c>
      <c r="J22" s="111" t="e">
        <f>'[1]6 เดือน'!$J$22</f>
        <v>#REF!</v>
      </c>
      <c r="K22" s="230" t="s">
        <v>51</v>
      </c>
      <c r="L22" s="115"/>
      <c r="M22" s="62"/>
    </row>
    <row r="23" spans="1:13" ht="23.25" customHeight="1">
      <c r="A23" s="50"/>
      <c r="B23" s="14"/>
      <c r="C23" s="20"/>
      <c r="D23" s="20"/>
      <c r="E23" s="20"/>
      <c r="F23" s="20"/>
      <c r="G23" s="20"/>
      <c r="H23" s="676"/>
      <c r="I23" s="677"/>
      <c r="J23" s="677"/>
      <c r="K23" s="678"/>
      <c r="L23" s="116"/>
      <c r="M23" s="63"/>
    </row>
    <row r="24" spans="1:13" ht="23.25" customHeight="1">
      <c r="A24" s="38" t="s">
        <v>53</v>
      </c>
      <c r="B24" s="109">
        <v>10</v>
      </c>
      <c r="C24" s="242">
        <v>0.73</v>
      </c>
      <c r="D24" s="242">
        <v>0.76</v>
      </c>
      <c r="E24" s="242">
        <v>0.79</v>
      </c>
      <c r="F24" s="242">
        <v>0.82</v>
      </c>
      <c r="G24" s="242">
        <v>0.85</v>
      </c>
      <c r="H24" s="672" t="s">
        <v>82</v>
      </c>
      <c r="I24" s="672"/>
      <c r="J24" s="672"/>
      <c r="K24" s="673"/>
      <c r="L24" s="243">
        <f>'[1]6 เดือน'!$L$24</f>
        <v>1</v>
      </c>
      <c r="M24" s="61">
        <f>IF(L24=0,"-",L24*B24/B$94)</f>
        <v>0.1</v>
      </c>
    </row>
    <row r="25" spans="1:13" ht="23.25" customHeight="1">
      <c r="A25" s="40" t="s">
        <v>21</v>
      </c>
      <c r="B25" s="5"/>
      <c r="C25" s="17"/>
      <c r="D25" s="17"/>
      <c r="E25" s="17"/>
      <c r="F25" s="17"/>
      <c r="G25" s="17"/>
      <c r="H25" s="657" t="s">
        <v>83</v>
      </c>
      <c r="I25" s="674"/>
      <c r="J25" s="674"/>
      <c r="K25" s="658"/>
      <c r="L25" s="115"/>
      <c r="M25" s="62"/>
    </row>
    <row r="26" spans="1:13" ht="23.25" customHeight="1">
      <c r="A26" s="40"/>
      <c r="B26" s="5"/>
      <c r="C26" s="17"/>
      <c r="D26" s="17"/>
      <c r="E26" s="17"/>
      <c r="F26" s="17"/>
      <c r="G26" s="17"/>
      <c r="H26" s="657" t="s">
        <v>55</v>
      </c>
      <c r="I26" s="674"/>
      <c r="J26" s="674"/>
      <c r="K26" s="658"/>
      <c r="L26" s="115"/>
      <c r="M26" s="62"/>
    </row>
    <row r="27" spans="1:13" ht="23.25" customHeight="1">
      <c r="A27" s="40"/>
      <c r="B27" s="5"/>
      <c r="C27" s="17"/>
      <c r="D27" s="17"/>
      <c r="E27" s="17"/>
      <c r="F27" s="17"/>
      <c r="G27" s="17"/>
      <c r="H27" s="235"/>
      <c r="I27" s="48" t="s">
        <v>56</v>
      </c>
      <c r="J27" s="111">
        <v>40.46</v>
      </c>
      <c r="K27" s="230" t="s">
        <v>51</v>
      </c>
      <c r="L27" s="115"/>
      <c r="M27" s="62"/>
    </row>
    <row r="28" spans="1:13" ht="23.25" customHeight="1">
      <c r="A28" s="50"/>
      <c r="B28" s="14"/>
      <c r="C28" s="20"/>
      <c r="D28" s="20"/>
      <c r="E28" s="20"/>
      <c r="F28" s="20"/>
      <c r="G28" s="20"/>
      <c r="H28" s="96"/>
      <c r="I28" s="97"/>
      <c r="J28" s="97"/>
      <c r="K28" s="98"/>
      <c r="L28" s="116"/>
      <c r="M28" s="63"/>
    </row>
    <row r="29" spans="1:13" ht="24.75" customHeight="1">
      <c r="A29" s="38" t="s">
        <v>22</v>
      </c>
      <c r="B29" s="109">
        <v>5</v>
      </c>
      <c r="C29" s="16">
        <v>0.92</v>
      </c>
      <c r="D29" s="16">
        <v>0.94</v>
      </c>
      <c r="E29" s="16">
        <v>0.96</v>
      </c>
      <c r="F29" s="16">
        <v>0.98</v>
      </c>
      <c r="G29" s="16">
        <v>1</v>
      </c>
      <c r="H29" s="675" t="s">
        <v>57</v>
      </c>
      <c r="I29" s="672"/>
      <c r="J29" s="672"/>
      <c r="K29" s="673"/>
      <c r="L29" s="243">
        <f>'[1]6 เดือน'!$L$29</f>
        <v>1</v>
      </c>
      <c r="M29" s="61">
        <f>IF(L29=0,"-",L29*B29/B$94)</f>
        <v>0.05</v>
      </c>
    </row>
    <row r="30" spans="1:13" ht="24.75" customHeight="1">
      <c r="A30" s="40" t="s">
        <v>23</v>
      </c>
      <c r="B30" s="5"/>
      <c r="C30" s="17"/>
      <c r="D30" s="17"/>
      <c r="E30" s="17"/>
      <c r="F30" s="17"/>
      <c r="G30" s="17"/>
      <c r="H30" s="657" t="s">
        <v>58</v>
      </c>
      <c r="I30" s="674"/>
      <c r="J30" s="674"/>
      <c r="K30" s="658"/>
      <c r="L30" s="115"/>
      <c r="M30" s="62"/>
    </row>
    <row r="31" spans="1:13" ht="24.75" customHeight="1">
      <c r="A31" s="40" t="s">
        <v>24</v>
      </c>
      <c r="B31" s="5"/>
      <c r="C31" s="17"/>
      <c r="D31" s="17"/>
      <c r="E31" s="17"/>
      <c r="F31" s="17"/>
      <c r="G31" s="17"/>
      <c r="H31" s="657" t="s">
        <v>77</v>
      </c>
      <c r="I31" s="674"/>
      <c r="J31" s="674"/>
      <c r="K31" s="658"/>
      <c r="L31" s="115"/>
      <c r="M31" s="62"/>
    </row>
    <row r="32" spans="1:13" ht="24.75" customHeight="1">
      <c r="A32" s="40"/>
      <c r="B32" s="5"/>
      <c r="C32" s="17"/>
      <c r="D32" s="17"/>
      <c r="E32" s="17"/>
      <c r="F32" s="17"/>
      <c r="G32" s="17"/>
      <c r="H32" s="657" t="s">
        <v>59</v>
      </c>
      <c r="I32" s="674"/>
      <c r="J32" s="674"/>
      <c r="K32" s="658"/>
      <c r="L32" s="115"/>
      <c r="M32" s="62"/>
    </row>
    <row r="33" spans="1:13" ht="24.75" customHeight="1">
      <c r="A33" s="40"/>
      <c r="B33" s="5"/>
      <c r="C33" s="17"/>
      <c r="D33" s="17"/>
      <c r="E33" s="17"/>
      <c r="F33" s="17"/>
      <c r="G33" s="17"/>
      <c r="H33" s="228"/>
      <c r="I33" s="48" t="s">
        <v>56</v>
      </c>
      <c r="J33" s="111">
        <v>52.12</v>
      </c>
      <c r="K33" s="230" t="s">
        <v>51</v>
      </c>
      <c r="L33" s="115"/>
      <c r="M33" s="62"/>
    </row>
    <row r="34" spans="1:13" ht="24.75" customHeight="1">
      <c r="A34" s="40"/>
      <c r="B34" s="5"/>
      <c r="C34" s="17"/>
      <c r="D34" s="17"/>
      <c r="E34" s="17"/>
      <c r="F34" s="17"/>
      <c r="G34" s="17"/>
      <c r="H34" s="77"/>
      <c r="I34" s="70"/>
      <c r="J34" s="70"/>
      <c r="K34" s="78"/>
      <c r="L34" s="115"/>
      <c r="M34" s="62"/>
    </row>
    <row r="35" spans="1:13" ht="24.75" customHeight="1">
      <c r="A35" s="38" t="s">
        <v>25</v>
      </c>
      <c r="B35" s="109">
        <v>10</v>
      </c>
      <c r="C35" s="16">
        <v>0.96</v>
      </c>
      <c r="D35" s="16">
        <v>0.97</v>
      </c>
      <c r="E35" s="16">
        <v>0.98</v>
      </c>
      <c r="F35" s="16">
        <v>0.99</v>
      </c>
      <c r="G35" s="16">
        <v>1</v>
      </c>
      <c r="H35" s="675" t="s">
        <v>73</v>
      </c>
      <c r="I35" s="672"/>
      <c r="J35" s="672"/>
      <c r="K35" s="673"/>
      <c r="L35" s="243">
        <v>1</v>
      </c>
      <c r="M35" s="61">
        <f>IF(L35=0,"-",L35*B35/B$94)</f>
        <v>0.1</v>
      </c>
    </row>
    <row r="36" spans="1:13" ht="24.75" customHeight="1">
      <c r="A36" s="40" t="s">
        <v>26</v>
      </c>
      <c r="B36" s="5"/>
      <c r="C36" s="17"/>
      <c r="D36" s="17"/>
      <c r="E36" s="17"/>
      <c r="F36" s="17"/>
      <c r="G36" s="17"/>
      <c r="H36" s="680" t="s">
        <v>74</v>
      </c>
      <c r="I36" s="681"/>
      <c r="J36" s="681"/>
      <c r="K36" s="682"/>
      <c r="L36" s="115"/>
      <c r="M36" s="62"/>
    </row>
    <row r="37" spans="1:13" ht="24.75" customHeight="1">
      <c r="A37" s="40"/>
      <c r="B37" s="5"/>
      <c r="C37" s="17"/>
      <c r="D37" s="17"/>
      <c r="E37" s="17"/>
      <c r="F37" s="17"/>
      <c r="G37" s="17"/>
      <c r="H37" s="680" t="s">
        <v>75</v>
      </c>
      <c r="I37" s="681"/>
      <c r="J37" s="681"/>
      <c r="K37" s="682"/>
      <c r="L37" s="115"/>
      <c r="M37" s="62"/>
    </row>
    <row r="38" spans="1:13" ht="24.75" customHeight="1">
      <c r="A38" s="40"/>
      <c r="B38" s="5"/>
      <c r="C38" s="17"/>
      <c r="D38" s="17"/>
      <c r="E38" s="17"/>
      <c r="F38" s="17"/>
      <c r="G38" s="17"/>
      <c r="H38" s="680" t="s">
        <v>76</v>
      </c>
      <c r="I38" s="683"/>
      <c r="J38" s="683"/>
      <c r="K38" s="684"/>
      <c r="L38" s="115"/>
      <c r="M38" s="62"/>
    </row>
    <row r="39" spans="1:13" ht="24.75" customHeight="1">
      <c r="A39" s="40"/>
      <c r="B39" s="5"/>
      <c r="C39" s="17"/>
      <c r="D39" s="17"/>
      <c r="E39" s="17"/>
      <c r="F39" s="17"/>
      <c r="G39" s="17"/>
      <c r="H39" s="228"/>
      <c r="I39" s="48" t="s">
        <v>56</v>
      </c>
      <c r="J39" s="111">
        <f>(556.12*100/679.78)</f>
        <v>81.808820500750244</v>
      </c>
      <c r="K39" s="230" t="s">
        <v>51</v>
      </c>
      <c r="L39" s="115"/>
      <c r="M39" s="62"/>
    </row>
    <row r="40" spans="1:13" ht="24.75" customHeight="1">
      <c r="A40" s="50"/>
      <c r="B40" s="14"/>
      <c r="C40" s="20"/>
      <c r="D40" s="20"/>
      <c r="E40" s="20"/>
      <c r="F40" s="20"/>
      <c r="G40" s="20"/>
      <c r="H40" s="96"/>
      <c r="I40" s="233"/>
      <c r="J40" s="233"/>
      <c r="K40" s="234"/>
      <c r="L40" s="116"/>
      <c r="M40" s="63"/>
    </row>
    <row r="41" spans="1:13" ht="24.75" customHeight="1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675" t="s">
        <v>62</v>
      </c>
      <c r="I41" s="672"/>
      <c r="J41" s="672"/>
      <c r="K41" s="673"/>
      <c r="L41" s="243">
        <f>'[1]6 เดือน'!$L$41</f>
        <v>1</v>
      </c>
      <c r="M41" s="61">
        <f>IF(L41=0,"-",L41*B41/B$94)</f>
        <v>0.1</v>
      </c>
    </row>
    <row r="42" spans="1:13" ht="24.75" customHeight="1">
      <c r="A42" s="40" t="s">
        <v>28</v>
      </c>
      <c r="B42" s="5"/>
      <c r="C42" s="17"/>
      <c r="D42" s="17"/>
      <c r="E42" s="17"/>
      <c r="F42" s="17"/>
      <c r="G42" s="17"/>
      <c r="H42" s="657" t="s">
        <v>63</v>
      </c>
      <c r="I42" s="674"/>
      <c r="J42" s="674"/>
      <c r="K42" s="658"/>
      <c r="L42" s="115"/>
      <c r="M42" s="62"/>
    </row>
    <row r="43" spans="1:13" ht="24.75" customHeight="1">
      <c r="A43" s="40" t="s">
        <v>60</v>
      </c>
      <c r="B43" s="5"/>
      <c r="C43" s="17"/>
      <c r="D43" s="17"/>
      <c r="E43" s="17"/>
      <c r="F43" s="17"/>
      <c r="G43" s="17"/>
      <c r="H43" s="657" t="s">
        <v>64</v>
      </c>
      <c r="I43" s="674"/>
      <c r="J43" s="674"/>
      <c r="K43" s="658"/>
      <c r="L43" s="115"/>
      <c r="M43" s="62"/>
    </row>
    <row r="44" spans="1:13" ht="24.75" customHeight="1">
      <c r="A44" s="40"/>
      <c r="B44" s="5"/>
      <c r="C44" s="17"/>
      <c r="D44" s="17"/>
      <c r="E44" s="17"/>
      <c r="F44" s="17"/>
      <c r="G44" s="17"/>
      <c r="H44" s="235" t="s">
        <v>65</v>
      </c>
      <c r="I44" s="51"/>
      <c r="J44" s="92"/>
      <c r="K44" s="236"/>
      <c r="L44" s="115"/>
      <c r="M44" s="62"/>
    </row>
    <row r="45" spans="1:13" ht="24.75" customHeight="1">
      <c r="A45" s="40"/>
      <c r="B45" s="5"/>
      <c r="C45" s="17"/>
      <c r="D45" s="17"/>
      <c r="E45" s="17"/>
      <c r="F45" s="17"/>
      <c r="G45" s="17"/>
      <c r="H45" s="235"/>
      <c r="I45" s="51" t="s">
        <v>66</v>
      </c>
      <c r="J45" s="227">
        <v>104</v>
      </c>
      <c r="K45" s="236" t="s">
        <v>61</v>
      </c>
      <c r="L45" s="115"/>
      <c r="M45" s="62"/>
    </row>
    <row r="46" spans="1:13" ht="24.75" customHeight="1">
      <c r="A46" s="40"/>
      <c r="B46" s="5"/>
      <c r="C46" s="17"/>
      <c r="D46" s="17"/>
      <c r="E46" s="17"/>
      <c r="F46" s="17"/>
      <c r="G46" s="17"/>
      <c r="H46" s="235"/>
      <c r="I46" s="51" t="s">
        <v>67</v>
      </c>
      <c r="J46" s="227">
        <f>1+4</f>
        <v>5</v>
      </c>
      <c r="K46" s="236" t="s">
        <v>61</v>
      </c>
      <c r="L46" s="115"/>
      <c r="M46" s="62"/>
    </row>
    <row r="47" spans="1:13" ht="24.75" customHeight="1">
      <c r="A47" s="40"/>
      <c r="B47" s="5"/>
      <c r="C47" s="17"/>
      <c r="D47" s="17"/>
      <c r="E47" s="17"/>
      <c r="F47" s="17"/>
      <c r="G47" s="17"/>
      <c r="H47" s="228"/>
      <c r="I47" s="48" t="s">
        <v>81</v>
      </c>
      <c r="J47" s="111">
        <f>J46*100/J45</f>
        <v>4.8076923076923075</v>
      </c>
      <c r="K47" s="230" t="s">
        <v>51</v>
      </c>
      <c r="L47" s="115"/>
      <c r="M47" s="62"/>
    </row>
    <row r="48" spans="1:13" ht="25.5">
      <c r="A48" s="40"/>
      <c r="B48" s="5"/>
      <c r="C48" s="17"/>
      <c r="D48" s="17"/>
      <c r="E48" s="17"/>
      <c r="F48" s="17"/>
      <c r="G48" s="17"/>
      <c r="H48" s="679"/>
      <c r="I48" s="677"/>
      <c r="J48" s="677"/>
      <c r="K48" s="678"/>
      <c r="L48" s="115"/>
      <c r="M48" s="62"/>
    </row>
    <row r="49" spans="1:13" ht="24.75" customHeight="1">
      <c r="A49" s="38" t="s">
        <v>68</v>
      </c>
      <c r="B49" s="109">
        <v>5</v>
      </c>
      <c r="C49" s="16">
        <v>0.5</v>
      </c>
      <c r="D49" s="16">
        <v>0.75</v>
      </c>
      <c r="E49" s="16">
        <v>1</v>
      </c>
      <c r="F49" s="16">
        <v>1</v>
      </c>
      <c r="G49" s="16">
        <v>1</v>
      </c>
      <c r="H49" s="675" t="s">
        <v>78</v>
      </c>
      <c r="I49" s="672"/>
      <c r="J49" s="672"/>
      <c r="K49" s="673"/>
      <c r="L49" s="243">
        <f>'[1]6 เดือน'!$L$49</f>
        <v>1</v>
      </c>
      <c r="M49" s="61">
        <f>IF(L49=0,"-",L49*B49/B$94)</f>
        <v>0.05</v>
      </c>
    </row>
    <row r="50" spans="1:13" ht="24.75" customHeight="1">
      <c r="A50" s="40" t="s">
        <v>69</v>
      </c>
      <c r="B50" s="3"/>
      <c r="C50" s="260"/>
      <c r="D50" s="260"/>
      <c r="E50" s="260"/>
      <c r="F50" s="260" t="s">
        <v>70</v>
      </c>
      <c r="G50" s="260" t="s">
        <v>70</v>
      </c>
      <c r="H50" s="674" t="s">
        <v>79</v>
      </c>
      <c r="I50" s="674"/>
      <c r="J50" s="674"/>
      <c r="K50" s="658"/>
      <c r="L50" s="115"/>
      <c r="M50" s="62"/>
    </row>
    <row r="51" spans="1:13" ht="24.75" customHeight="1">
      <c r="A51" s="40"/>
      <c r="B51" s="3"/>
      <c r="C51" s="260"/>
      <c r="D51" s="260"/>
      <c r="E51" s="260"/>
      <c r="F51" s="260" t="s">
        <v>71</v>
      </c>
      <c r="G51" s="260" t="s">
        <v>72</v>
      </c>
      <c r="H51" s="674" t="s">
        <v>80</v>
      </c>
      <c r="I51" s="674"/>
      <c r="J51" s="674"/>
      <c r="K51" s="658"/>
      <c r="L51" s="115"/>
      <c r="M51" s="62"/>
    </row>
    <row r="52" spans="1:13" ht="24.75" customHeight="1">
      <c r="A52" s="40"/>
      <c r="B52" s="3"/>
      <c r="C52" s="261"/>
      <c r="D52" s="261"/>
      <c r="E52" s="261"/>
      <c r="F52" s="261"/>
      <c r="G52" s="261"/>
      <c r="H52" s="228"/>
      <c r="I52" s="48" t="s">
        <v>56</v>
      </c>
      <c r="J52" s="111">
        <v>0</v>
      </c>
      <c r="K52" s="230" t="s">
        <v>51</v>
      </c>
      <c r="L52" s="115"/>
      <c r="M52" s="62"/>
    </row>
    <row r="53" spans="1:13" ht="25.5">
      <c r="A53" s="50"/>
      <c r="B53" s="14"/>
      <c r="C53" s="20"/>
      <c r="D53" s="20"/>
      <c r="E53" s="20"/>
      <c r="F53" s="20"/>
      <c r="G53" s="20"/>
      <c r="H53" s="679"/>
      <c r="I53" s="685"/>
      <c r="J53" s="685"/>
      <c r="K53" s="686"/>
      <c r="L53" s="116"/>
      <c r="M53" s="63"/>
    </row>
    <row r="54" spans="1:13" ht="24.75" customHeight="1">
      <c r="A54" s="38" t="s">
        <v>84</v>
      </c>
      <c r="B54" s="109">
        <v>10</v>
      </c>
      <c r="C54" s="16">
        <v>0.78</v>
      </c>
      <c r="D54" s="16">
        <v>0.81</v>
      </c>
      <c r="E54" s="16">
        <v>0.84</v>
      </c>
      <c r="F54" s="16">
        <v>0.87</v>
      </c>
      <c r="G54" s="16">
        <v>0.9</v>
      </c>
      <c r="H54" s="675" t="s">
        <v>99</v>
      </c>
      <c r="I54" s="672"/>
      <c r="J54" s="672"/>
      <c r="K54" s="673"/>
      <c r="L54" s="243">
        <v>1</v>
      </c>
      <c r="M54" s="61">
        <f>IF(L54=0,"-",L54*B54/B$94)</f>
        <v>0.1</v>
      </c>
    </row>
    <row r="55" spans="1:13" ht="24.75" customHeight="1">
      <c r="A55" s="40" t="s">
        <v>85</v>
      </c>
      <c r="B55" s="5"/>
      <c r="C55" s="17"/>
      <c r="D55" s="17"/>
      <c r="E55" s="17"/>
      <c r="F55" s="17"/>
      <c r="G55" s="17"/>
      <c r="H55" s="657" t="s">
        <v>100</v>
      </c>
      <c r="I55" s="674"/>
      <c r="J55" s="674"/>
      <c r="K55" s="658"/>
      <c r="L55" s="115"/>
      <c r="M55" s="62"/>
    </row>
    <row r="56" spans="1:13" ht="24.75" customHeight="1">
      <c r="A56" s="40"/>
      <c r="B56" s="5"/>
      <c r="C56" s="17"/>
      <c r="D56" s="17"/>
      <c r="E56" s="17"/>
      <c r="F56" s="17"/>
      <c r="G56" s="17"/>
      <c r="H56" s="48"/>
      <c r="I56" s="48" t="s">
        <v>87</v>
      </c>
      <c r="J56" s="111">
        <v>4631.0600000000004</v>
      </c>
      <c r="K56" s="230" t="s">
        <v>34</v>
      </c>
      <c r="L56" s="115"/>
      <c r="M56" s="62"/>
    </row>
    <row r="57" spans="1:13" ht="24.75" customHeight="1">
      <c r="A57" s="40"/>
      <c r="B57" s="5"/>
      <c r="C57" s="17"/>
      <c r="D57" s="17"/>
      <c r="E57" s="17"/>
      <c r="F57" s="17"/>
      <c r="G57" s="17"/>
      <c r="H57" s="48"/>
      <c r="I57" s="48" t="s">
        <v>86</v>
      </c>
      <c r="J57" s="111">
        <v>2605.0300000000002</v>
      </c>
      <c r="K57" s="230" t="s">
        <v>34</v>
      </c>
      <c r="L57" s="115"/>
      <c r="M57" s="62"/>
    </row>
    <row r="58" spans="1:13" ht="24.75" customHeight="1">
      <c r="A58" s="40"/>
      <c r="B58" s="5"/>
      <c r="C58" s="17"/>
      <c r="D58" s="17"/>
      <c r="E58" s="17"/>
      <c r="F58" s="17"/>
      <c r="G58" s="17"/>
      <c r="H58" s="48"/>
      <c r="I58" s="48" t="s">
        <v>88</v>
      </c>
      <c r="J58" s="111">
        <f>J57*100/J56</f>
        <v>56.251268608050857</v>
      </c>
      <c r="K58" s="230" t="s">
        <v>51</v>
      </c>
      <c r="L58" s="115"/>
      <c r="M58" s="62"/>
    </row>
    <row r="59" spans="1:13" ht="27.75" customHeight="1">
      <c r="A59" s="50"/>
      <c r="B59" s="14"/>
      <c r="C59" s="20"/>
      <c r="D59" s="20"/>
      <c r="E59" s="20"/>
      <c r="F59" s="20"/>
      <c r="G59" s="20"/>
      <c r="H59" s="102"/>
      <c r="I59" s="233"/>
      <c r="J59" s="103"/>
      <c r="K59" s="234"/>
      <c r="L59" s="116"/>
      <c r="M59" s="63"/>
    </row>
    <row r="60" spans="1:13" ht="24.75" customHeight="1">
      <c r="A60" s="38" t="s">
        <v>89</v>
      </c>
      <c r="B60" s="109">
        <v>5</v>
      </c>
      <c r="C60" s="16">
        <v>0.6</v>
      </c>
      <c r="D60" s="16">
        <v>0.65</v>
      </c>
      <c r="E60" s="16">
        <v>0.7</v>
      </c>
      <c r="F60" s="16">
        <v>0.75</v>
      </c>
      <c r="G60" s="16">
        <v>0.8</v>
      </c>
      <c r="H60" s="675" t="s">
        <v>92</v>
      </c>
      <c r="I60" s="672"/>
      <c r="J60" s="672"/>
      <c r="K60" s="673"/>
      <c r="L60" s="243">
        <f>'[1]6 เดือน'!$L$60</f>
        <v>1</v>
      </c>
      <c r="M60" s="61">
        <f>IF(L60=0,"-",L60*B60/B$94)</f>
        <v>0.05</v>
      </c>
    </row>
    <row r="61" spans="1:13" ht="24.75" customHeight="1">
      <c r="A61" s="40" t="s">
        <v>90</v>
      </c>
      <c r="B61" s="3"/>
      <c r="C61" s="262"/>
      <c r="D61" s="262"/>
      <c r="E61" s="262"/>
      <c r="F61" s="262"/>
      <c r="G61" s="262"/>
      <c r="H61" s="657" t="s">
        <v>93</v>
      </c>
      <c r="I61" s="674"/>
      <c r="J61" s="674"/>
      <c r="K61" s="658"/>
      <c r="L61" s="115"/>
      <c r="M61" s="62"/>
    </row>
    <row r="62" spans="1:13" ht="24.75" customHeight="1">
      <c r="A62" s="40" t="s">
        <v>91</v>
      </c>
      <c r="B62" s="5"/>
      <c r="C62" s="17"/>
      <c r="D62" s="17"/>
      <c r="E62" s="17"/>
      <c r="F62" s="17"/>
      <c r="G62" s="17"/>
      <c r="H62" s="657" t="s">
        <v>94</v>
      </c>
      <c r="I62" s="674"/>
      <c r="J62" s="674"/>
      <c r="K62" s="658"/>
      <c r="L62" s="115"/>
      <c r="M62" s="62"/>
    </row>
    <row r="63" spans="1:13" ht="24.75" customHeight="1">
      <c r="A63" s="40"/>
      <c r="B63" s="5"/>
      <c r="C63" s="17"/>
      <c r="D63" s="17"/>
      <c r="E63" s="17"/>
      <c r="F63" s="17"/>
      <c r="G63" s="17"/>
      <c r="H63" s="228" t="s">
        <v>95</v>
      </c>
      <c r="I63" s="229"/>
      <c r="J63" s="229"/>
      <c r="K63" s="230"/>
      <c r="L63" s="115"/>
      <c r="M63" s="62"/>
    </row>
    <row r="64" spans="1:13" ht="24.75" customHeight="1">
      <c r="A64" s="40"/>
      <c r="B64" s="5"/>
      <c r="C64" s="17"/>
      <c r="D64" s="17"/>
      <c r="E64" s="17"/>
      <c r="F64" s="17"/>
      <c r="G64" s="17"/>
      <c r="H64" s="235"/>
      <c r="I64" s="51" t="s">
        <v>97</v>
      </c>
      <c r="J64" s="111">
        <v>0</v>
      </c>
      <c r="K64" s="236" t="s">
        <v>96</v>
      </c>
      <c r="L64" s="115"/>
      <c r="M64" s="62"/>
    </row>
    <row r="65" spans="1:32" ht="24.75" customHeight="1">
      <c r="A65" s="40"/>
      <c r="B65" s="5"/>
      <c r="C65" s="17"/>
      <c r="D65" s="17"/>
      <c r="E65" s="17"/>
      <c r="F65" s="17"/>
      <c r="G65" s="17"/>
      <c r="H65" s="235"/>
      <c r="I65" s="51" t="s">
        <v>98</v>
      </c>
      <c r="J65" s="111">
        <v>0</v>
      </c>
      <c r="K65" s="236" t="s">
        <v>96</v>
      </c>
      <c r="L65" s="115"/>
      <c r="M65" s="62"/>
    </row>
    <row r="66" spans="1:32" ht="24.75" customHeight="1">
      <c r="A66" s="40"/>
      <c r="B66" s="5"/>
      <c r="C66" s="17"/>
      <c r="D66" s="17"/>
      <c r="E66" s="17"/>
      <c r="F66" s="17"/>
      <c r="G66" s="17"/>
      <c r="H66" s="228"/>
      <c r="I66" s="51" t="s">
        <v>35</v>
      </c>
      <c r="J66" s="111">
        <v>0</v>
      </c>
      <c r="K66" s="230" t="s">
        <v>51</v>
      </c>
      <c r="L66" s="115"/>
      <c r="M66" s="62"/>
    </row>
    <row r="67" spans="1:32" ht="24.75" customHeight="1">
      <c r="A67" s="40"/>
      <c r="B67" s="5"/>
      <c r="C67" s="17"/>
      <c r="D67" s="17"/>
      <c r="E67" s="17"/>
      <c r="F67" s="17"/>
      <c r="G67" s="17"/>
      <c r="H67" s="48"/>
      <c r="I67" s="66"/>
      <c r="J67" s="66"/>
      <c r="K67" s="105"/>
      <c r="L67" s="115"/>
      <c r="M67" s="62"/>
    </row>
    <row r="68" spans="1:32" ht="24.75" customHeight="1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675" t="s">
        <v>103</v>
      </c>
      <c r="I68" s="672"/>
      <c r="J68" s="672"/>
      <c r="K68" s="673"/>
      <c r="L68" s="243">
        <f>'[1]6 เดือน'!$L$68</f>
        <v>1</v>
      </c>
      <c r="M68" s="61">
        <f>IF(L68=0,"-",L68*B68/B$94)</f>
        <v>0.05</v>
      </c>
    </row>
    <row r="69" spans="1:32" ht="24.75" customHeight="1">
      <c r="A69" s="40" t="s">
        <v>102</v>
      </c>
      <c r="B69" s="5"/>
      <c r="C69" s="17"/>
      <c r="D69" s="17"/>
      <c r="E69" s="17"/>
      <c r="F69" s="17"/>
      <c r="G69" s="17"/>
      <c r="H69" s="657" t="s">
        <v>104</v>
      </c>
      <c r="I69" s="674"/>
      <c r="J69" s="674"/>
      <c r="K69" s="658"/>
      <c r="L69" s="115"/>
      <c r="M69" s="62"/>
    </row>
    <row r="70" spans="1:32" ht="24.75" customHeight="1">
      <c r="A70" s="40"/>
      <c r="B70" s="5"/>
      <c r="C70" s="17"/>
      <c r="D70" s="17"/>
      <c r="E70" s="17"/>
      <c r="F70" s="17"/>
      <c r="G70" s="17"/>
      <c r="H70" s="657" t="s">
        <v>105</v>
      </c>
      <c r="I70" s="674"/>
      <c r="J70" s="674"/>
      <c r="K70" s="658"/>
      <c r="L70" s="115"/>
      <c r="M70" s="62"/>
    </row>
    <row r="71" spans="1:32" ht="24.75" customHeight="1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230" t="s">
        <v>51</v>
      </c>
      <c r="L71" s="115"/>
      <c r="M71" s="62"/>
    </row>
    <row r="72" spans="1:32" ht="24.75" customHeight="1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675" t="s">
        <v>108</v>
      </c>
      <c r="I73" s="672"/>
      <c r="J73" s="672"/>
      <c r="K73" s="673"/>
      <c r="L73" s="243">
        <f>'[1]6 เดือน'!$L$73</f>
        <v>1</v>
      </c>
      <c r="M73" s="61">
        <f>IF(L73=0,"-",L73*B73/B$94)</f>
        <v>0.05</v>
      </c>
      <c r="P73" s="263"/>
    </row>
    <row r="74" spans="1:32" ht="24.75" customHeight="1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657" t="s">
        <v>109</v>
      </c>
      <c r="I74" s="674"/>
      <c r="J74" s="674"/>
      <c r="K74" s="658"/>
      <c r="L74" s="115"/>
      <c r="M74" s="62"/>
    </row>
    <row r="75" spans="1:32" ht="24.75" customHeight="1">
      <c r="A75" s="40"/>
      <c r="B75" s="5"/>
      <c r="C75" s="23"/>
      <c r="D75" s="23"/>
      <c r="E75" s="23"/>
      <c r="F75" s="23"/>
      <c r="G75" s="23"/>
      <c r="H75" s="657" t="s">
        <v>110</v>
      </c>
      <c r="I75" s="674"/>
      <c r="J75" s="674"/>
      <c r="K75" s="658"/>
      <c r="L75" s="115"/>
      <c r="M75" s="62"/>
    </row>
    <row r="76" spans="1:32" ht="24.75" customHeight="1">
      <c r="A76" s="40"/>
      <c r="B76" s="5"/>
      <c r="C76" s="23"/>
      <c r="D76" s="23"/>
      <c r="E76" s="23"/>
      <c r="F76" s="23"/>
      <c r="G76" s="23"/>
      <c r="H76" s="657" t="s">
        <v>111</v>
      </c>
      <c r="I76" s="674"/>
      <c r="J76" s="674"/>
      <c r="K76" s="658"/>
      <c r="L76" s="115"/>
      <c r="M76" s="62"/>
    </row>
    <row r="77" spans="1:32" ht="24.75" customHeight="1">
      <c r="A77" s="40"/>
      <c r="B77" s="5"/>
      <c r="C77" s="23"/>
      <c r="D77" s="23"/>
      <c r="E77" s="23"/>
      <c r="F77" s="23"/>
      <c r="G77" s="23"/>
      <c r="H77" s="228"/>
      <c r="I77" s="51" t="s">
        <v>112</v>
      </c>
      <c r="J77" s="111">
        <v>0</v>
      </c>
      <c r="K77" s="236"/>
      <c r="L77" s="115"/>
      <c r="M77" s="62"/>
      <c r="R77" s="264"/>
    </row>
    <row r="78" spans="1:32" ht="27" customHeight="1">
      <c r="A78" s="50"/>
      <c r="B78" s="14"/>
      <c r="C78" s="20"/>
      <c r="D78" s="20"/>
      <c r="E78" s="20"/>
      <c r="F78" s="20"/>
      <c r="G78" s="20"/>
      <c r="H78" s="96"/>
      <c r="I78" s="233"/>
      <c r="J78" s="233"/>
      <c r="K78" s="234"/>
      <c r="L78" s="116"/>
      <c r="M78" s="63"/>
    </row>
    <row r="79" spans="1:32" ht="24.75" customHeight="1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675" t="s">
        <v>123</v>
      </c>
      <c r="I79" s="672"/>
      <c r="J79" s="672"/>
      <c r="K79" s="673"/>
      <c r="L79" s="243">
        <f>'[1]9 เดือน'!$L$79</f>
        <v>4.4518716577540109</v>
      </c>
      <c r="M79" s="61">
        <f>IF(L79=0,"-",L79*B79/B$94)</f>
        <v>0.22259358288770056</v>
      </c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</row>
    <row r="80" spans="1:32" ht="24.75" customHeight="1">
      <c r="A80" s="56" t="s">
        <v>36</v>
      </c>
      <c r="B80" s="27"/>
      <c r="C80" s="17"/>
      <c r="D80" s="17"/>
      <c r="E80" s="17"/>
      <c r="F80" s="17"/>
      <c r="G80" s="28"/>
      <c r="H80" s="228" t="s">
        <v>124</v>
      </c>
      <c r="I80" s="92"/>
      <c r="J80" s="108"/>
      <c r="K80" s="105"/>
      <c r="L80" s="117"/>
      <c r="M80" s="62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</row>
    <row r="81" spans="1:32" ht="24.75" customHeight="1">
      <c r="A81" s="56"/>
      <c r="B81" s="27"/>
      <c r="C81" s="17"/>
      <c r="D81" s="17"/>
      <c r="E81" s="17"/>
      <c r="F81" s="17"/>
      <c r="G81" s="17"/>
      <c r="H81" s="229" t="s">
        <v>125</v>
      </c>
      <c r="I81" s="92"/>
      <c r="J81" s="108"/>
      <c r="K81" s="105"/>
      <c r="L81" s="117"/>
      <c r="M81" s="62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</row>
    <row r="82" spans="1:32" ht="24.75" customHeight="1">
      <c r="A82" s="56"/>
      <c r="B82" s="27"/>
      <c r="C82" s="17"/>
      <c r="D82" s="17"/>
      <c r="E82" s="17"/>
      <c r="F82" s="17"/>
      <c r="G82" s="17"/>
      <c r="H82" s="228" t="s">
        <v>126</v>
      </c>
      <c r="I82" s="92"/>
      <c r="J82" s="108"/>
      <c r="K82" s="105"/>
      <c r="L82" s="117"/>
      <c r="M82" s="62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</row>
    <row r="83" spans="1:32" ht="24.75" customHeight="1">
      <c r="A83" s="56"/>
      <c r="B83" s="27"/>
      <c r="C83" s="17"/>
      <c r="D83" s="17"/>
      <c r="E83" s="17"/>
      <c r="F83" s="17"/>
      <c r="G83" s="17"/>
      <c r="H83" s="228" t="s">
        <v>127</v>
      </c>
      <c r="I83" s="92"/>
      <c r="J83" s="108"/>
      <c r="K83" s="105"/>
      <c r="L83" s="117"/>
      <c r="M83" s="62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</row>
    <row r="84" spans="1:32" ht="24.75" customHeight="1">
      <c r="A84" s="56"/>
      <c r="B84" s="27"/>
      <c r="C84" s="17"/>
      <c r="D84" s="17"/>
      <c r="E84" s="17"/>
      <c r="F84" s="17"/>
      <c r="G84" s="17"/>
      <c r="H84" s="228"/>
      <c r="I84" s="51" t="s">
        <v>114</v>
      </c>
      <c r="J84" s="246">
        <f>L79</f>
        <v>4.4518716577540109</v>
      </c>
      <c r="K84" s="236"/>
      <c r="L84" s="117"/>
      <c r="M84" s="62"/>
      <c r="O84" s="265"/>
      <c r="P84" s="265"/>
      <c r="Q84" s="265"/>
      <c r="R84" s="265"/>
      <c r="S84" s="265"/>
      <c r="T84" s="265"/>
      <c r="U84" s="265"/>
      <c r="V84" s="266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</row>
    <row r="85" spans="1:32" ht="24.75" customHeight="1">
      <c r="A85" s="60"/>
      <c r="B85" s="29"/>
      <c r="C85" s="20"/>
      <c r="D85" s="20"/>
      <c r="E85" s="20"/>
      <c r="F85" s="20"/>
      <c r="G85" s="20"/>
      <c r="H85" s="97"/>
      <c r="I85" s="233"/>
      <c r="J85" s="233"/>
      <c r="K85" s="234"/>
      <c r="L85" s="118"/>
      <c r="M85" s="63"/>
    </row>
    <row r="86" spans="1:32" ht="24.75" customHeight="1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675" t="s">
        <v>117</v>
      </c>
      <c r="I86" s="672"/>
      <c r="J86" s="672"/>
      <c r="K86" s="673"/>
      <c r="L86" s="243">
        <f>'[1]9 เดือน'!$L$86</f>
        <v>4.1000000000000005</v>
      </c>
      <c r="M86" s="61">
        <f>IF(L86=0,"-",L86*B86/B$94)</f>
        <v>0.20500000000000004</v>
      </c>
    </row>
    <row r="87" spans="1:32" ht="24.75" customHeight="1">
      <c r="A87" s="40" t="s">
        <v>116</v>
      </c>
      <c r="B87" s="5"/>
      <c r="C87" s="17"/>
      <c r="D87" s="17"/>
      <c r="E87" s="17"/>
      <c r="F87" s="17"/>
      <c r="G87" s="17"/>
      <c r="H87" s="657" t="s">
        <v>118</v>
      </c>
      <c r="I87" s="674"/>
      <c r="J87" s="674"/>
      <c r="K87" s="658"/>
      <c r="L87" s="115"/>
      <c r="M87" s="62"/>
    </row>
    <row r="88" spans="1:32" ht="24.75" customHeight="1">
      <c r="A88" s="40"/>
      <c r="B88" s="5"/>
      <c r="C88" s="17"/>
      <c r="D88" s="17"/>
      <c r="E88" s="17"/>
      <c r="F88" s="17"/>
      <c r="G88" s="17"/>
      <c r="H88" s="657" t="s">
        <v>119</v>
      </c>
      <c r="I88" s="674"/>
      <c r="J88" s="674"/>
      <c r="K88" s="658"/>
      <c r="L88" s="115"/>
      <c r="M88" s="62"/>
    </row>
    <row r="89" spans="1:32" ht="24.75" customHeight="1">
      <c r="A89" s="40"/>
      <c r="B89" s="5"/>
      <c r="C89" s="17"/>
      <c r="D89" s="17"/>
      <c r="E89" s="17"/>
      <c r="F89" s="17"/>
      <c r="G89" s="17"/>
      <c r="H89" s="228" t="s">
        <v>120</v>
      </c>
      <c r="I89" s="229"/>
      <c r="J89" s="229"/>
      <c r="K89" s="230"/>
      <c r="L89" s="115"/>
      <c r="M89" s="62"/>
    </row>
    <row r="90" spans="1:32" ht="24.75" customHeight="1">
      <c r="A90" s="40"/>
      <c r="B90" s="5"/>
      <c r="C90" s="17"/>
      <c r="D90" s="17"/>
      <c r="E90" s="17"/>
      <c r="F90" s="17"/>
      <c r="G90" s="17"/>
      <c r="H90" s="228" t="s">
        <v>121</v>
      </c>
      <c r="I90" s="229"/>
      <c r="J90" s="229"/>
      <c r="K90" s="230"/>
      <c r="L90" s="115"/>
      <c r="M90" s="62"/>
    </row>
    <row r="91" spans="1:32" ht="24.75" customHeight="1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1">
        <f>'[1]9 เดือน'!$J$91</f>
        <v>95.5</v>
      </c>
      <c r="K91" s="230" t="s">
        <v>51</v>
      </c>
      <c r="L91" s="115"/>
      <c r="M91" s="62"/>
    </row>
    <row r="92" spans="1:32" ht="24.75" customHeight="1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>
      <c r="A93" s="687" t="s">
        <v>129</v>
      </c>
      <c r="B93" s="688"/>
      <c r="C93" s="688"/>
      <c r="D93" s="688"/>
      <c r="E93" s="688"/>
      <c r="F93" s="688"/>
      <c r="G93" s="688"/>
      <c r="H93" s="688"/>
      <c r="I93" s="688"/>
      <c r="J93" s="688"/>
      <c r="K93" s="688"/>
      <c r="L93" s="689"/>
      <c r="M93" s="267">
        <f>SUM(M86,M79,M73,M68,M60,M54,M49,M41,M35,M29,M24,M17,M9,M6)</f>
        <v>1.4939935828877009</v>
      </c>
    </row>
    <row r="94" spans="1:32">
      <c r="B94" s="268">
        <f>SUM(B6:B92)</f>
        <v>100</v>
      </c>
    </row>
  </sheetData>
  <mergeCells count="53"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  <mergeCell ref="H69:K69"/>
    <mergeCell ref="H48:K48"/>
    <mergeCell ref="H49:K49"/>
    <mergeCell ref="H50:K50"/>
    <mergeCell ref="H51:K51"/>
    <mergeCell ref="H53:K53"/>
    <mergeCell ref="H54:K54"/>
    <mergeCell ref="H55:K55"/>
    <mergeCell ref="H60:K60"/>
    <mergeCell ref="H61:K61"/>
    <mergeCell ref="H62:K62"/>
    <mergeCell ref="H68:K68"/>
    <mergeCell ref="H43:K43"/>
    <mergeCell ref="H26:K26"/>
    <mergeCell ref="H29:K29"/>
    <mergeCell ref="H30:K30"/>
    <mergeCell ref="H31:K31"/>
    <mergeCell ref="H32:K32"/>
    <mergeCell ref="H35:K35"/>
    <mergeCell ref="H36:K36"/>
    <mergeCell ref="H37:K37"/>
    <mergeCell ref="H38:K38"/>
    <mergeCell ref="H41:K41"/>
    <mergeCell ref="H42:K42"/>
    <mergeCell ref="H25:K25"/>
    <mergeCell ref="H11:I11"/>
    <mergeCell ref="H13:I13"/>
    <mergeCell ref="H14:I14"/>
    <mergeCell ref="H15:I15"/>
    <mergeCell ref="H17:K17"/>
    <mergeCell ref="H18:K18"/>
    <mergeCell ref="H19:K19"/>
    <mergeCell ref="H20:K20"/>
    <mergeCell ref="H21:K21"/>
    <mergeCell ref="H23:K23"/>
    <mergeCell ref="H24:K24"/>
    <mergeCell ref="H9:I10"/>
    <mergeCell ref="J9:K9"/>
    <mergeCell ref="A1:M1"/>
    <mergeCell ref="A2:M2"/>
    <mergeCell ref="C4:G4"/>
    <mergeCell ref="H4:K5"/>
    <mergeCell ref="L4:L5"/>
  </mergeCells>
  <printOptions horizontalCentered="1"/>
  <pageMargins left="0.2" right="0.1" top="0.55118110236220497" bottom="0.27559055118110198" header="0.196850393700787" footer="0.47244094488188998"/>
  <pageSetup paperSize="9" scale="80" orientation="landscape" r:id="rId1"/>
  <headerFooter scaleWithDoc="0">
    <oddHeader>&amp;R&amp;"TH SarabunIT๙,ธรรมดา"&amp;16&amp;P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F94"/>
  <sheetViews>
    <sheetView topLeftCell="A37" zoomScale="70" zoomScaleNormal="70" zoomScaleSheetLayoutView="90" zoomScalePageLayoutView="50" workbookViewId="0">
      <selection activeCell="F99" activeCellId="1" sqref="A79 F99"/>
    </sheetView>
  </sheetViews>
  <sheetFormatPr defaultColWidth="9.140625" defaultRowHeight="23.25"/>
  <cols>
    <col min="1" max="1" width="38" style="95" customWidth="1"/>
    <col min="2" max="2" width="9.7109375" style="95" customWidth="1"/>
    <col min="3" max="3" width="9.85546875" style="95" customWidth="1"/>
    <col min="4" max="7" width="9.28515625" style="95" customWidth="1"/>
    <col min="8" max="9" width="9.85546875" style="95" customWidth="1"/>
    <col min="10" max="10" width="13.140625" style="95" customWidth="1"/>
    <col min="11" max="11" width="27.28515625" style="95" customWidth="1"/>
    <col min="12" max="12" width="11.5703125" style="95" customWidth="1"/>
    <col min="13" max="13" width="11.140625" style="95" customWidth="1"/>
    <col min="14" max="16384" width="9.140625" style="95"/>
  </cols>
  <sheetData>
    <row r="1" spans="1:16" ht="27.75">
      <c r="A1" s="690" t="s">
        <v>0</v>
      </c>
      <c r="B1" s="691"/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</row>
    <row r="2" spans="1:16" ht="27.75">
      <c r="A2" s="690" t="s">
        <v>45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</row>
    <row r="3" spans="1:16" ht="26.25" customHeight="1">
      <c r="A3" s="247" t="s">
        <v>135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9" t="s">
        <v>37</v>
      </c>
    </row>
    <row r="4" spans="1:16" s="251" customFormat="1" ht="24.75" customHeight="1">
      <c r="A4" s="26" t="s">
        <v>1</v>
      </c>
      <c r="B4" s="26" t="s">
        <v>2</v>
      </c>
      <c r="C4" s="692" t="s">
        <v>3</v>
      </c>
      <c r="D4" s="692"/>
      <c r="E4" s="692"/>
      <c r="F4" s="692"/>
      <c r="G4" s="692"/>
      <c r="H4" s="693" t="s">
        <v>4</v>
      </c>
      <c r="I4" s="694"/>
      <c r="J4" s="694"/>
      <c r="K4" s="695"/>
      <c r="L4" s="699" t="s">
        <v>5</v>
      </c>
      <c r="M4" s="250" t="s">
        <v>6</v>
      </c>
    </row>
    <row r="5" spans="1:16" s="251" customFormat="1" ht="24.75" customHeight="1">
      <c r="A5" s="63" t="s">
        <v>7</v>
      </c>
      <c r="B5" s="63" t="s">
        <v>8</v>
      </c>
      <c r="C5" s="252">
        <v>1</v>
      </c>
      <c r="D5" s="252">
        <v>2</v>
      </c>
      <c r="E5" s="252">
        <v>3</v>
      </c>
      <c r="F5" s="252">
        <v>4</v>
      </c>
      <c r="G5" s="252">
        <v>5</v>
      </c>
      <c r="H5" s="696"/>
      <c r="I5" s="697"/>
      <c r="J5" s="697"/>
      <c r="K5" s="698"/>
      <c r="L5" s="699"/>
      <c r="M5" s="253" t="s">
        <v>9</v>
      </c>
    </row>
    <row r="6" spans="1:16" ht="23.25" customHeight="1">
      <c r="A6" s="38" t="s">
        <v>10</v>
      </c>
      <c r="B6" s="109">
        <v>10</v>
      </c>
      <c r="C6" s="242">
        <v>0.6</v>
      </c>
      <c r="D6" s="242">
        <v>0.7</v>
      </c>
      <c r="E6" s="242">
        <v>0.8</v>
      </c>
      <c r="F6" s="242">
        <v>0.9</v>
      </c>
      <c r="G6" s="242">
        <v>1</v>
      </c>
      <c r="H6" s="272" t="s">
        <v>128</v>
      </c>
      <c r="I6" s="68"/>
      <c r="J6" s="68"/>
      <c r="K6" s="69"/>
      <c r="L6" s="243">
        <f>'[1]10 เดือน'!$L$6</f>
        <v>2.7450000000000001</v>
      </c>
      <c r="M6" s="61">
        <f>IF(L6=0,"-",L6*B6/B$94)</f>
        <v>0.27450000000000002</v>
      </c>
    </row>
    <row r="7" spans="1:16" ht="23.25" customHeight="1">
      <c r="A7" s="39" t="s">
        <v>12</v>
      </c>
      <c r="B7" s="3"/>
      <c r="C7" s="244"/>
      <c r="D7" s="244"/>
      <c r="E7" s="244"/>
      <c r="F7" s="244"/>
      <c r="G7" s="244"/>
      <c r="H7" s="270" t="s">
        <v>40</v>
      </c>
      <c r="I7" s="70"/>
      <c r="J7" s="245">
        <f>'[1]10 เดือน'!$J$7</f>
        <v>77.45</v>
      </c>
      <c r="K7" s="71" t="s">
        <v>51</v>
      </c>
      <c r="L7" s="115"/>
      <c r="M7" s="62"/>
    </row>
    <row r="8" spans="1:16" ht="23.25" customHeight="1">
      <c r="A8" s="40"/>
      <c r="B8" s="5"/>
      <c r="C8" s="20"/>
      <c r="D8" s="20"/>
      <c r="E8" s="20"/>
      <c r="F8" s="20"/>
      <c r="G8" s="20"/>
      <c r="H8" s="28"/>
      <c r="I8" s="70"/>
      <c r="J8" s="70"/>
      <c r="K8" s="78"/>
      <c r="L8" s="115"/>
      <c r="M8" s="62"/>
    </row>
    <row r="9" spans="1:16" ht="23.25" customHeight="1">
      <c r="A9" s="38" t="s">
        <v>13</v>
      </c>
      <c r="B9" s="109">
        <v>10</v>
      </c>
      <c r="C9" s="240">
        <v>12456</v>
      </c>
      <c r="D9" s="241">
        <v>14532</v>
      </c>
      <c r="E9" s="241">
        <v>16608</v>
      </c>
      <c r="F9" s="241">
        <v>18684</v>
      </c>
      <c r="G9" s="241">
        <v>20760</v>
      </c>
      <c r="H9" s="652" t="s">
        <v>14</v>
      </c>
      <c r="I9" s="653"/>
      <c r="J9" s="654" t="s">
        <v>15</v>
      </c>
      <c r="K9" s="654"/>
      <c r="L9" s="243">
        <f>'[1]10 เดือน'!$L$9</f>
        <v>1.7437379576107901</v>
      </c>
      <c r="M9" s="61">
        <f>IF(L9=0,"-",L9*B9/B$94)</f>
        <v>0.174373795761079</v>
      </c>
      <c r="O9" s="254"/>
      <c r="P9" s="255"/>
    </row>
    <row r="10" spans="1:16" ht="23.25" customHeight="1">
      <c r="A10" s="40" t="s">
        <v>16</v>
      </c>
      <c r="B10" s="3"/>
      <c r="C10" s="256" t="s">
        <v>38</v>
      </c>
      <c r="D10" s="256" t="s">
        <v>38</v>
      </c>
      <c r="E10" s="256" t="s">
        <v>39</v>
      </c>
      <c r="F10" s="256" t="s">
        <v>38</v>
      </c>
      <c r="G10" s="256" t="s">
        <v>38</v>
      </c>
      <c r="H10" s="652"/>
      <c r="I10" s="653"/>
      <c r="J10" s="278" t="s">
        <v>17</v>
      </c>
      <c r="K10" s="278" t="s">
        <v>18</v>
      </c>
      <c r="L10" s="115"/>
      <c r="M10" s="62"/>
      <c r="O10" s="254"/>
      <c r="P10" s="257"/>
    </row>
    <row r="11" spans="1:16" ht="23.25" customHeight="1">
      <c r="A11" s="40"/>
      <c r="B11" s="3"/>
      <c r="C11" s="258"/>
      <c r="D11" s="258"/>
      <c r="E11" s="258"/>
      <c r="F11" s="258"/>
      <c r="G11" s="258"/>
      <c r="H11" s="655" t="s">
        <v>19</v>
      </c>
      <c r="I11" s="656"/>
      <c r="J11" s="73">
        <v>19000</v>
      </c>
      <c r="K11" s="64">
        <f>'[1]10 เดือน'!$K$11</f>
        <v>14000</v>
      </c>
      <c r="L11" s="115"/>
      <c r="M11" s="62"/>
    </row>
    <row r="12" spans="1:16" ht="23.25" customHeight="1">
      <c r="A12" s="40"/>
      <c r="B12" s="5"/>
      <c r="C12" s="259"/>
      <c r="D12" s="17"/>
      <c r="E12" s="17"/>
      <c r="F12" s="17"/>
      <c r="G12" s="17"/>
      <c r="H12" s="272" t="s">
        <v>41</v>
      </c>
      <c r="I12" s="273"/>
      <c r="J12" s="74">
        <v>1760</v>
      </c>
      <c r="K12" s="65" t="s">
        <v>11</v>
      </c>
      <c r="L12" s="115"/>
      <c r="M12" s="62"/>
    </row>
    <row r="13" spans="1:16" ht="23.25" customHeight="1">
      <c r="A13" s="40"/>
      <c r="B13" s="5"/>
      <c r="C13" s="17"/>
      <c r="D13" s="17"/>
      <c r="E13" s="17"/>
      <c r="F13" s="17"/>
      <c r="G13" s="17"/>
      <c r="H13" s="657" t="s">
        <v>42</v>
      </c>
      <c r="I13" s="658"/>
      <c r="J13" s="86"/>
      <c r="K13" s="87"/>
      <c r="L13" s="115"/>
      <c r="M13" s="62"/>
    </row>
    <row r="14" spans="1:16" ht="23.25" customHeight="1">
      <c r="A14" s="40"/>
      <c r="B14" s="5"/>
      <c r="C14" s="17"/>
      <c r="D14" s="17"/>
      <c r="E14" s="17"/>
      <c r="F14" s="17"/>
      <c r="G14" s="17"/>
      <c r="H14" s="669" t="s">
        <v>43</v>
      </c>
      <c r="I14" s="670"/>
      <c r="J14" s="88"/>
      <c r="K14" s="89"/>
      <c r="L14" s="115"/>
      <c r="M14" s="62"/>
    </row>
    <row r="15" spans="1:16" ht="23.25" customHeight="1" thickBot="1">
      <c r="A15" s="40"/>
      <c r="B15" s="5"/>
      <c r="C15" s="17"/>
      <c r="D15" s="17"/>
      <c r="E15" s="17"/>
      <c r="F15" s="17"/>
      <c r="G15" s="17"/>
      <c r="H15" s="671" t="s">
        <v>20</v>
      </c>
      <c r="I15" s="671"/>
      <c r="J15" s="90">
        <f>SUM(J11:J12)</f>
        <v>20760</v>
      </c>
      <c r="K15" s="91">
        <f>SUM(K11:K12)</f>
        <v>14000</v>
      </c>
      <c r="L15" s="115"/>
      <c r="M15" s="62"/>
    </row>
    <row r="16" spans="1:16" ht="23.25" customHeight="1" thickTop="1">
      <c r="A16" s="40"/>
      <c r="B16" s="5"/>
      <c r="C16" s="17"/>
      <c r="D16" s="17"/>
      <c r="E16" s="17"/>
      <c r="F16" s="17"/>
      <c r="G16" s="17"/>
      <c r="H16" s="3"/>
      <c r="I16" s="92"/>
      <c r="J16" s="93"/>
      <c r="K16" s="94"/>
      <c r="L16" s="115"/>
      <c r="M16" s="62"/>
    </row>
    <row r="17" spans="1:13" ht="23.25" customHeight="1">
      <c r="A17" s="38" t="s">
        <v>52</v>
      </c>
      <c r="B17" s="109">
        <v>5</v>
      </c>
      <c r="C17" s="242">
        <v>0.65</v>
      </c>
      <c r="D17" s="242">
        <v>0.7</v>
      </c>
      <c r="E17" s="242">
        <v>0.75</v>
      </c>
      <c r="F17" s="242">
        <v>0.8</v>
      </c>
      <c r="G17" s="242">
        <v>0.85</v>
      </c>
      <c r="H17" s="675" t="s">
        <v>46</v>
      </c>
      <c r="I17" s="672"/>
      <c r="J17" s="672"/>
      <c r="K17" s="673"/>
      <c r="L17" s="243">
        <f>'[1]6 เดือน'!$L$17</f>
        <v>1</v>
      </c>
      <c r="M17" s="61">
        <f>IF(L17=0,"-",L17*B17/B$94)</f>
        <v>0.05</v>
      </c>
    </row>
    <row r="18" spans="1:13" ht="23.25" customHeight="1">
      <c r="A18" s="40" t="s">
        <v>44</v>
      </c>
      <c r="B18" s="5"/>
      <c r="C18" s="17"/>
      <c r="D18" s="17"/>
      <c r="E18" s="17"/>
      <c r="F18" s="17"/>
      <c r="G18" s="17"/>
      <c r="H18" s="657" t="s">
        <v>47</v>
      </c>
      <c r="I18" s="674"/>
      <c r="J18" s="674"/>
      <c r="K18" s="658"/>
      <c r="L18" s="115"/>
      <c r="M18" s="62"/>
    </row>
    <row r="19" spans="1:13" ht="23.25" customHeight="1">
      <c r="A19" s="40"/>
      <c r="B19" s="5"/>
      <c r="C19" s="17"/>
      <c r="D19" s="17"/>
      <c r="E19" s="17"/>
      <c r="F19" s="17"/>
      <c r="G19" s="17"/>
      <c r="H19" s="657" t="s">
        <v>48</v>
      </c>
      <c r="I19" s="674"/>
      <c r="J19" s="674"/>
      <c r="K19" s="658"/>
      <c r="L19" s="115"/>
      <c r="M19" s="62"/>
    </row>
    <row r="20" spans="1:13" ht="23.25" customHeight="1">
      <c r="A20" s="40"/>
      <c r="B20" s="5"/>
      <c r="C20" s="17"/>
      <c r="D20" s="17"/>
      <c r="E20" s="17"/>
      <c r="F20" s="17"/>
      <c r="G20" s="17"/>
      <c r="H20" s="657" t="s">
        <v>49</v>
      </c>
      <c r="I20" s="674"/>
      <c r="J20" s="674"/>
      <c r="K20" s="658"/>
      <c r="L20" s="115"/>
      <c r="M20" s="62"/>
    </row>
    <row r="21" spans="1:13" ht="23.25" customHeight="1">
      <c r="A21" s="40"/>
      <c r="B21" s="5"/>
      <c r="C21" s="17"/>
      <c r="D21" s="17"/>
      <c r="E21" s="17"/>
      <c r="F21" s="17"/>
      <c r="G21" s="17"/>
      <c r="H21" s="657" t="s">
        <v>50</v>
      </c>
      <c r="I21" s="674"/>
      <c r="J21" s="674"/>
      <c r="K21" s="658"/>
      <c r="L21" s="115"/>
      <c r="M21" s="62"/>
    </row>
    <row r="22" spans="1:13" ht="23.25" customHeight="1">
      <c r="A22" s="40"/>
      <c r="B22" s="5"/>
      <c r="C22" s="17"/>
      <c r="D22" s="17"/>
      <c r="E22" s="17"/>
      <c r="F22" s="17"/>
      <c r="G22" s="17"/>
      <c r="I22" s="51" t="s">
        <v>54</v>
      </c>
      <c r="J22" s="111" t="e">
        <f>'[1]6 เดือน'!$J$22</f>
        <v>#REF!</v>
      </c>
      <c r="K22" s="271" t="s">
        <v>51</v>
      </c>
      <c r="L22" s="115"/>
      <c r="M22" s="62"/>
    </row>
    <row r="23" spans="1:13" ht="23.25" customHeight="1">
      <c r="A23" s="50"/>
      <c r="B23" s="14"/>
      <c r="C23" s="20"/>
      <c r="D23" s="20"/>
      <c r="E23" s="20"/>
      <c r="F23" s="20"/>
      <c r="G23" s="20"/>
      <c r="H23" s="676"/>
      <c r="I23" s="677"/>
      <c r="J23" s="677"/>
      <c r="K23" s="678"/>
      <c r="L23" s="116"/>
      <c r="M23" s="63"/>
    </row>
    <row r="24" spans="1:13" ht="23.25" customHeight="1">
      <c r="A24" s="38" t="s">
        <v>53</v>
      </c>
      <c r="B24" s="109">
        <v>10</v>
      </c>
      <c r="C24" s="242">
        <v>0.73</v>
      </c>
      <c r="D24" s="242">
        <v>0.76</v>
      </c>
      <c r="E24" s="242">
        <v>0.79</v>
      </c>
      <c r="F24" s="242">
        <v>0.82</v>
      </c>
      <c r="G24" s="242">
        <v>0.85</v>
      </c>
      <c r="H24" s="672" t="s">
        <v>82</v>
      </c>
      <c r="I24" s="672"/>
      <c r="J24" s="672"/>
      <c r="K24" s="673"/>
      <c r="L24" s="243">
        <f>'[1]6 เดือน'!$L$24</f>
        <v>1</v>
      </c>
      <c r="M24" s="61">
        <f>IF(L24=0,"-",L24*B24/B$94)</f>
        <v>0.1</v>
      </c>
    </row>
    <row r="25" spans="1:13" ht="23.25" customHeight="1">
      <c r="A25" s="40" t="s">
        <v>21</v>
      </c>
      <c r="B25" s="5"/>
      <c r="C25" s="17"/>
      <c r="D25" s="17"/>
      <c r="E25" s="17"/>
      <c r="F25" s="17"/>
      <c r="G25" s="17"/>
      <c r="H25" s="657" t="s">
        <v>83</v>
      </c>
      <c r="I25" s="674"/>
      <c r="J25" s="674"/>
      <c r="K25" s="658"/>
      <c r="L25" s="115"/>
      <c r="M25" s="62"/>
    </row>
    <row r="26" spans="1:13" ht="23.25" customHeight="1">
      <c r="A26" s="40"/>
      <c r="B26" s="5"/>
      <c r="C26" s="17"/>
      <c r="D26" s="17"/>
      <c r="E26" s="17"/>
      <c r="F26" s="17"/>
      <c r="G26" s="17"/>
      <c r="H26" s="657" t="s">
        <v>55</v>
      </c>
      <c r="I26" s="674"/>
      <c r="J26" s="674"/>
      <c r="K26" s="658"/>
      <c r="L26" s="115"/>
      <c r="M26" s="62"/>
    </row>
    <row r="27" spans="1:13" ht="23.25" customHeight="1">
      <c r="A27" s="40"/>
      <c r="B27" s="5"/>
      <c r="C27" s="17"/>
      <c r="D27" s="17"/>
      <c r="E27" s="17"/>
      <c r="F27" s="17"/>
      <c r="G27" s="17"/>
      <c r="H27" s="276"/>
      <c r="I27" s="48" t="s">
        <v>56</v>
      </c>
      <c r="J27" s="111">
        <f>[5]ผอป.คญ.!$J$27</f>
        <v>44.88</v>
      </c>
      <c r="K27" s="271" t="s">
        <v>51</v>
      </c>
      <c r="L27" s="115"/>
      <c r="M27" s="62"/>
    </row>
    <row r="28" spans="1:13" ht="23.25" customHeight="1">
      <c r="A28" s="50"/>
      <c r="B28" s="14"/>
      <c r="C28" s="20"/>
      <c r="D28" s="20"/>
      <c r="E28" s="20"/>
      <c r="F28" s="20"/>
      <c r="G28" s="20"/>
      <c r="H28" s="96"/>
      <c r="I28" s="97"/>
      <c r="J28" s="97"/>
      <c r="K28" s="98"/>
      <c r="L28" s="116"/>
      <c r="M28" s="63"/>
    </row>
    <row r="29" spans="1:13" ht="24.75" customHeight="1">
      <c r="A29" s="38" t="s">
        <v>22</v>
      </c>
      <c r="B29" s="109">
        <v>5</v>
      </c>
      <c r="C29" s="16">
        <v>0.92</v>
      </c>
      <c r="D29" s="16">
        <v>0.94</v>
      </c>
      <c r="E29" s="16">
        <v>0.96</v>
      </c>
      <c r="F29" s="16">
        <v>0.98</v>
      </c>
      <c r="G29" s="16">
        <v>1</v>
      </c>
      <c r="H29" s="675" t="s">
        <v>57</v>
      </c>
      <c r="I29" s="672"/>
      <c r="J29" s="672"/>
      <c r="K29" s="673"/>
      <c r="L29" s="243">
        <f>'[1]6 เดือน'!$L$29</f>
        <v>1</v>
      </c>
      <c r="M29" s="61">
        <f>IF(L29=0,"-",L29*B29/B$94)</f>
        <v>0.05</v>
      </c>
    </row>
    <row r="30" spans="1:13" ht="24.75" customHeight="1">
      <c r="A30" s="40" t="s">
        <v>23</v>
      </c>
      <c r="B30" s="5"/>
      <c r="C30" s="17"/>
      <c r="D30" s="17"/>
      <c r="E30" s="17"/>
      <c r="F30" s="17"/>
      <c r="G30" s="17"/>
      <c r="H30" s="657" t="s">
        <v>58</v>
      </c>
      <c r="I30" s="674"/>
      <c r="J30" s="674"/>
      <c r="K30" s="658"/>
      <c r="L30" s="115"/>
      <c r="M30" s="62"/>
    </row>
    <row r="31" spans="1:13" ht="24.75" customHeight="1">
      <c r="A31" s="40" t="s">
        <v>24</v>
      </c>
      <c r="B31" s="5"/>
      <c r="C31" s="17"/>
      <c r="D31" s="17"/>
      <c r="E31" s="17"/>
      <c r="F31" s="17"/>
      <c r="G31" s="17"/>
      <c r="H31" s="657" t="s">
        <v>77</v>
      </c>
      <c r="I31" s="674"/>
      <c r="J31" s="674"/>
      <c r="K31" s="658"/>
      <c r="L31" s="115"/>
      <c r="M31" s="62"/>
    </row>
    <row r="32" spans="1:13" ht="24.75" customHeight="1">
      <c r="A32" s="40"/>
      <c r="B32" s="5"/>
      <c r="C32" s="17"/>
      <c r="D32" s="17"/>
      <c r="E32" s="17"/>
      <c r="F32" s="17"/>
      <c r="G32" s="17"/>
      <c r="H32" s="657" t="s">
        <v>59</v>
      </c>
      <c r="I32" s="674"/>
      <c r="J32" s="674"/>
      <c r="K32" s="658"/>
      <c r="L32" s="115"/>
      <c r="M32" s="62"/>
    </row>
    <row r="33" spans="1:13" ht="24.75" customHeight="1">
      <c r="A33" s="40"/>
      <c r="B33" s="5"/>
      <c r="C33" s="17"/>
      <c r="D33" s="17"/>
      <c r="E33" s="17"/>
      <c r="F33" s="17"/>
      <c r="G33" s="17"/>
      <c r="H33" s="269"/>
      <c r="I33" s="48" t="s">
        <v>56</v>
      </c>
      <c r="J33" s="111">
        <f>[5]ผอป.คญ.!$J$33</f>
        <v>60.167000000000002</v>
      </c>
      <c r="K33" s="271" t="s">
        <v>51</v>
      </c>
      <c r="L33" s="115"/>
      <c r="M33" s="62"/>
    </row>
    <row r="34" spans="1:13" ht="24.75" customHeight="1">
      <c r="A34" s="40"/>
      <c r="B34" s="5"/>
      <c r="C34" s="17"/>
      <c r="D34" s="17"/>
      <c r="E34" s="17"/>
      <c r="F34" s="17"/>
      <c r="G34" s="17"/>
      <c r="H34" s="77"/>
      <c r="I34" s="70"/>
      <c r="J34" s="70"/>
      <c r="K34" s="78"/>
      <c r="L34" s="115"/>
      <c r="M34" s="62"/>
    </row>
    <row r="35" spans="1:13" ht="24.75" customHeight="1">
      <c r="A35" s="38" t="s">
        <v>25</v>
      </c>
      <c r="B35" s="109">
        <v>10</v>
      </c>
      <c r="C35" s="16">
        <v>0.96</v>
      </c>
      <c r="D35" s="16">
        <v>0.97</v>
      </c>
      <c r="E35" s="16">
        <v>0.98</v>
      </c>
      <c r="F35" s="16">
        <v>0.99</v>
      </c>
      <c r="G35" s="16">
        <v>1</v>
      </c>
      <c r="H35" s="675" t="s">
        <v>73</v>
      </c>
      <c r="I35" s="672"/>
      <c r="J35" s="672"/>
      <c r="K35" s="673"/>
      <c r="L35" s="243">
        <v>1</v>
      </c>
      <c r="M35" s="61">
        <f>IF(L35=0,"-",L35*B35/B$94)</f>
        <v>0.1</v>
      </c>
    </row>
    <row r="36" spans="1:13" ht="24.75" customHeight="1">
      <c r="A36" s="40" t="s">
        <v>26</v>
      </c>
      <c r="B36" s="5"/>
      <c r="C36" s="17"/>
      <c r="D36" s="17"/>
      <c r="E36" s="17"/>
      <c r="F36" s="17"/>
      <c r="G36" s="17"/>
      <c r="H36" s="680" t="s">
        <v>74</v>
      </c>
      <c r="I36" s="681"/>
      <c r="J36" s="681"/>
      <c r="K36" s="682"/>
      <c r="L36" s="115"/>
      <c r="M36" s="62"/>
    </row>
    <row r="37" spans="1:13" ht="24.75" customHeight="1">
      <c r="A37" s="40"/>
      <c r="B37" s="5"/>
      <c r="C37" s="17"/>
      <c r="D37" s="17"/>
      <c r="E37" s="17"/>
      <c r="F37" s="17"/>
      <c r="G37" s="17"/>
      <c r="H37" s="680" t="s">
        <v>75</v>
      </c>
      <c r="I37" s="681"/>
      <c r="J37" s="681"/>
      <c r="K37" s="682"/>
      <c r="L37" s="115"/>
      <c r="M37" s="62"/>
    </row>
    <row r="38" spans="1:13" ht="24.75" customHeight="1">
      <c r="A38" s="40"/>
      <c r="B38" s="5"/>
      <c r="C38" s="17"/>
      <c r="D38" s="17"/>
      <c r="E38" s="17"/>
      <c r="F38" s="17"/>
      <c r="G38" s="17"/>
      <c r="H38" s="680" t="s">
        <v>76</v>
      </c>
      <c r="I38" s="683"/>
      <c r="J38" s="683"/>
      <c r="K38" s="684"/>
      <c r="L38" s="115"/>
      <c r="M38" s="62"/>
    </row>
    <row r="39" spans="1:13" ht="24.75" customHeight="1">
      <c r="A39" s="40"/>
      <c r="B39" s="5"/>
      <c r="C39" s="17"/>
      <c r="D39" s="17"/>
      <c r="E39" s="17"/>
      <c r="F39" s="17"/>
      <c r="G39" s="17"/>
      <c r="H39" s="269"/>
      <c r="I39" s="48" t="s">
        <v>56</v>
      </c>
      <c r="J39" s="111">
        <f>(582.49*100/907.72)</f>
        <v>64.170669369409069</v>
      </c>
      <c r="K39" s="271" t="s">
        <v>51</v>
      </c>
      <c r="L39" s="115"/>
      <c r="M39" s="62"/>
    </row>
    <row r="40" spans="1:13" ht="24.75" customHeight="1">
      <c r="A40" s="50"/>
      <c r="B40" s="14"/>
      <c r="C40" s="20"/>
      <c r="D40" s="20"/>
      <c r="E40" s="20"/>
      <c r="F40" s="20"/>
      <c r="G40" s="20"/>
      <c r="H40" s="96"/>
      <c r="I40" s="274"/>
      <c r="J40" s="274"/>
      <c r="K40" s="275"/>
      <c r="L40" s="116"/>
      <c r="M40" s="63"/>
    </row>
    <row r="41" spans="1:13" ht="24.75" customHeight="1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675" t="s">
        <v>62</v>
      </c>
      <c r="I41" s="672"/>
      <c r="J41" s="672"/>
      <c r="K41" s="673"/>
      <c r="L41" s="243">
        <f>'[1]6 เดือน'!$L$41</f>
        <v>1</v>
      </c>
      <c r="M41" s="61">
        <f>IF(L41=0,"-",L41*B41/B$94)</f>
        <v>0.1</v>
      </c>
    </row>
    <row r="42" spans="1:13" ht="24.75" customHeight="1">
      <c r="A42" s="40" t="s">
        <v>28</v>
      </c>
      <c r="B42" s="5"/>
      <c r="C42" s="17"/>
      <c r="D42" s="17"/>
      <c r="E42" s="17"/>
      <c r="F42" s="17"/>
      <c r="G42" s="17"/>
      <c r="H42" s="657" t="s">
        <v>63</v>
      </c>
      <c r="I42" s="674"/>
      <c r="J42" s="674"/>
      <c r="K42" s="658"/>
      <c r="L42" s="115"/>
      <c r="M42" s="62"/>
    </row>
    <row r="43" spans="1:13" ht="24.75" customHeight="1">
      <c r="A43" s="40" t="s">
        <v>60</v>
      </c>
      <c r="B43" s="5"/>
      <c r="C43" s="17"/>
      <c r="D43" s="17"/>
      <c r="E43" s="17"/>
      <c r="F43" s="17"/>
      <c r="G43" s="17"/>
      <c r="H43" s="657" t="s">
        <v>64</v>
      </c>
      <c r="I43" s="674"/>
      <c r="J43" s="674"/>
      <c r="K43" s="658"/>
      <c r="L43" s="115"/>
      <c r="M43" s="62"/>
    </row>
    <row r="44" spans="1:13" ht="24.75" customHeight="1">
      <c r="A44" s="40"/>
      <c r="B44" s="5"/>
      <c r="C44" s="17"/>
      <c r="D44" s="17"/>
      <c r="E44" s="17"/>
      <c r="F44" s="17"/>
      <c r="G44" s="17"/>
      <c r="H44" s="276" t="s">
        <v>65</v>
      </c>
      <c r="I44" s="51"/>
      <c r="J44" s="92"/>
      <c r="K44" s="277"/>
      <c r="L44" s="115"/>
      <c r="M44" s="62"/>
    </row>
    <row r="45" spans="1:13" ht="24.75" customHeight="1">
      <c r="A45" s="40"/>
      <c r="B45" s="5"/>
      <c r="C45" s="17"/>
      <c r="D45" s="17"/>
      <c r="E45" s="17"/>
      <c r="F45" s="17"/>
      <c r="G45" s="17"/>
      <c r="H45" s="276"/>
      <c r="I45" s="51" t="s">
        <v>66</v>
      </c>
      <c r="J45" s="227">
        <v>104</v>
      </c>
      <c r="K45" s="277" t="s">
        <v>61</v>
      </c>
      <c r="L45" s="115"/>
      <c r="M45" s="62"/>
    </row>
    <row r="46" spans="1:13" ht="24.75" customHeight="1">
      <c r="A46" s="40"/>
      <c r="B46" s="5"/>
      <c r="C46" s="17"/>
      <c r="D46" s="17"/>
      <c r="E46" s="17"/>
      <c r="F46" s="17"/>
      <c r="G46" s="17"/>
      <c r="H46" s="276"/>
      <c r="I46" s="51" t="s">
        <v>67</v>
      </c>
      <c r="J46" s="227">
        <f>'[1]10 เดือน'!$J$46</f>
        <v>24</v>
      </c>
      <c r="K46" s="277" t="s">
        <v>61</v>
      </c>
      <c r="L46" s="115"/>
      <c r="M46" s="62"/>
    </row>
    <row r="47" spans="1:13" ht="24.75" customHeight="1">
      <c r="A47" s="40"/>
      <c r="B47" s="5"/>
      <c r="C47" s="17"/>
      <c r="D47" s="17"/>
      <c r="E47" s="17"/>
      <c r="F47" s="17"/>
      <c r="G47" s="17"/>
      <c r="H47" s="269"/>
      <c r="I47" s="48" t="s">
        <v>81</v>
      </c>
      <c r="J47" s="111">
        <f>J46*100/J45</f>
        <v>23.076923076923077</v>
      </c>
      <c r="K47" s="271" t="s">
        <v>51</v>
      </c>
      <c r="L47" s="115"/>
      <c r="M47" s="62"/>
    </row>
    <row r="48" spans="1:13" ht="25.5">
      <c r="A48" s="40"/>
      <c r="B48" s="5"/>
      <c r="C48" s="17"/>
      <c r="D48" s="17"/>
      <c r="E48" s="17"/>
      <c r="F48" s="17"/>
      <c r="G48" s="17"/>
      <c r="H48" s="679"/>
      <c r="I48" s="677"/>
      <c r="J48" s="677"/>
      <c r="K48" s="678"/>
      <c r="L48" s="115"/>
      <c r="M48" s="62"/>
    </row>
    <row r="49" spans="1:13" ht="24.75" customHeight="1">
      <c r="A49" s="38" t="s">
        <v>68</v>
      </c>
      <c r="B49" s="109">
        <v>5</v>
      </c>
      <c r="C49" s="16">
        <v>0.5</v>
      </c>
      <c r="D49" s="16">
        <v>0.75</v>
      </c>
      <c r="E49" s="16">
        <v>1</v>
      </c>
      <c r="F49" s="16">
        <v>1</v>
      </c>
      <c r="G49" s="16">
        <v>1</v>
      </c>
      <c r="H49" s="675" t="s">
        <v>78</v>
      </c>
      <c r="I49" s="672"/>
      <c r="J49" s="672"/>
      <c r="K49" s="673"/>
      <c r="L49" s="243">
        <f>'[1]6 เดือน'!$L$49</f>
        <v>1</v>
      </c>
      <c r="M49" s="61">
        <f>IF(L49=0,"-",L49*B49/B$94)</f>
        <v>0.05</v>
      </c>
    </row>
    <row r="50" spans="1:13" ht="24.75" customHeight="1">
      <c r="A50" s="40" t="s">
        <v>69</v>
      </c>
      <c r="B50" s="3"/>
      <c r="C50" s="260"/>
      <c r="D50" s="260"/>
      <c r="E50" s="260"/>
      <c r="F50" s="260" t="s">
        <v>70</v>
      </c>
      <c r="G50" s="260" t="s">
        <v>70</v>
      </c>
      <c r="H50" s="674" t="s">
        <v>79</v>
      </c>
      <c r="I50" s="674"/>
      <c r="J50" s="674"/>
      <c r="K50" s="658"/>
      <c r="L50" s="115"/>
      <c r="M50" s="62"/>
    </row>
    <row r="51" spans="1:13" ht="24.75" customHeight="1">
      <c r="A51" s="40"/>
      <c r="B51" s="3"/>
      <c r="C51" s="260"/>
      <c r="D51" s="260"/>
      <c r="E51" s="260"/>
      <c r="F51" s="260" t="s">
        <v>71</v>
      </c>
      <c r="G51" s="260" t="s">
        <v>72</v>
      </c>
      <c r="H51" s="674" t="s">
        <v>80</v>
      </c>
      <c r="I51" s="674"/>
      <c r="J51" s="674"/>
      <c r="K51" s="658"/>
      <c r="L51" s="115"/>
      <c r="M51" s="62"/>
    </row>
    <row r="52" spans="1:13" ht="24.75" customHeight="1">
      <c r="A52" s="40"/>
      <c r="B52" s="3"/>
      <c r="C52" s="261"/>
      <c r="D52" s="261"/>
      <c r="E52" s="261"/>
      <c r="F52" s="261"/>
      <c r="G52" s="261"/>
      <c r="H52" s="269"/>
      <c r="I52" s="48" t="s">
        <v>56</v>
      </c>
      <c r="J52" s="111">
        <v>0</v>
      </c>
      <c r="K52" s="271" t="s">
        <v>51</v>
      </c>
      <c r="L52" s="115"/>
      <c r="M52" s="62"/>
    </row>
    <row r="53" spans="1:13" ht="25.5">
      <c r="A53" s="50"/>
      <c r="B53" s="14"/>
      <c r="C53" s="20"/>
      <c r="D53" s="20"/>
      <c r="E53" s="20"/>
      <c r="F53" s="20"/>
      <c r="G53" s="20"/>
      <c r="H53" s="679"/>
      <c r="I53" s="685"/>
      <c r="J53" s="685"/>
      <c r="K53" s="686"/>
      <c r="L53" s="116"/>
      <c r="M53" s="63"/>
    </row>
    <row r="54" spans="1:13" ht="24.75" customHeight="1">
      <c r="A54" s="38" t="s">
        <v>84</v>
      </c>
      <c r="B54" s="109">
        <v>10</v>
      </c>
      <c r="C54" s="16">
        <v>0.78</v>
      </c>
      <c r="D54" s="16">
        <v>0.81</v>
      </c>
      <c r="E54" s="16">
        <v>0.84</v>
      </c>
      <c r="F54" s="16">
        <v>0.87</v>
      </c>
      <c r="G54" s="16">
        <v>0.9</v>
      </c>
      <c r="H54" s="675" t="s">
        <v>99</v>
      </c>
      <c r="I54" s="672"/>
      <c r="J54" s="672"/>
      <c r="K54" s="673"/>
      <c r="L54" s="243">
        <v>1</v>
      </c>
      <c r="M54" s="61">
        <f>IF(L54=0,"-",L54*B54/B$94)</f>
        <v>0.1</v>
      </c>
    </row>
    <row r="55" spans="1:13" ht="24.75" customHeight="1">
      <c r="A55" s="40" t="s">
        <v>85</v>
      </c>
      <c r="B55" s="5"/>
      <c r="C55" s="17"/>
      <c r="D55" s="17"/>
      <c r="E55" s="17"/>
      <c r="F55" s="17"/>
      <c r="G55" s="17"/>
      <c r="H55" s="657" t="s">
        <v>100</v>
      </c>
      <c r="I55" s="674"/>
      <c r="J55" s="674"/>
      <c r="K55" s="658"/>
      <c r="L55" s="115"/>
      <c r="M55" s="62"/>
    </row>
    <row r="56" spans="1:13" ht="24.75" customHeight="1">
      <c r="A56" s="40"/>
      <c r="B56" s="5"/>
      <c r="C56" s="17"/>
      <c r="D56" s="17"/>
      <c r="E56" s="17"/>
      <c r="F56" s="17"/>
      <c r="G56" s="17"/>
      <c r="H56" s="48"/>
      <c r="I56" s="48" t="s">
        <v>87</v>
      </c>
      <c r="J56" s="111">
        <v>4926.5618000000004</v>
      </c>
      <c r="K56" s="271" t="s">
        <v>34</v>
      </c>
      <c r="L56" s="115"/>
      <c r="M56" s="62"/>
    </row>
    <row r="57" spans="1:13" ht="24.75" customHeight="1">
      <c r="A57" s="40"/>
      <c r="B57" s="5"/>
      <c r="C57" s="17"/>
      <c r="D57" s="17"/>
      <c r="E57" s="17"/>
      <c r="F57" s="17"/>
      <c r="G57" s="17"/>
      <c r="H57" s="48"/>
      <c r="I57" s="48" t="s">
        <v>86</v>
      </c>
      <c r="J57" s="111">
        <v>3075.1275000000001</v>
      </c>
      <c r="K57" s="271" t="s">
        <v>34</v>
      </c>
      <c r="L57" s="115"/>
      <c r="M57" s="62"/>
    </row>
    <row r="58" spans="1:13" ht="24.75" customHeight="1">
      <c r="A58" s="40"/>
      <c r="B58" s="5"/>
      <c r="C58" s="17"/>
      <c r="D58" s="17"/>
      <c r="E58" s="17"/>
      <c r="F58" s="17"/>
      <c r="G58" s="17"/>
      <c r="H58" s="48"/>
      <c r="I58" s="48" t="s">
        <v>88</v>
      </c>
      <c r="J58" s="111">
        <f>J57*100/J56</f>
        <v>62.419342836620864</v>
      </c>
      <c r="K58" s="271" t="s">
        <v>51</v>
      </c>
      <c r="L58" s="115"/>
      <c r="M58" s="62"/>
    </row>
    <row r="59" spans="1:13" ht="27.75" customHeight="1">
      <c r="A59" s="50"/>
      <c r="B59" s="14"/>
      <c r="C59" s="20"/>
      <c r="D59" s="20"/>
      <c r="E59" s="20"/>
      <c r="F59" s="20"/>
      <c r="G59" s="20"/>
      <c r="H59" s="102"/>
      <c r="I59" s="274"/>
      <c r="J59" s="103"/>
      <c r="K59" s="275"/>
      <c r="L59" s="116"/>
      <c r="M59" s="63"/>
    </row>
    <row r="60" spans="1:13" ht="24.75" customHeight="1">
      <c r="A60" s="38" t="s">
        <v>89</v>
      </c>
      <c r="B60" s="109">
        <v>5</v>
      </c>
      <c r="C60" s="16">
        <v>0.6</v>
      </c>
      <c r="D60" s="16">
        <v>0.65</v>
      </c>
      <c r="E60" s="16">
        <v>0.7</v>
      </c>
      <c r="F60" s="16">
        <v>0.75</v>
      </c>
      <c r="G60" s="16">
        <v>0.8</v>
      </c>
      <c r="H60" s="675" t="s">
        <v>92</v>
      </c>
      <c r="I60" s="672"/>
      <c r="J60" s="672"/>
      <c r="K60" s="673"/>
      <c r="L60" s="243">
        <f>'[1]6 เดือน'!$L$60</f>
        <v>1</v>
      </c>
      <c r="M60" s="61">
        <f>IF(L60=0,"-",L60*B60/B$94)</f>
        <v>0.05</v>
      </c>
    </row>
    <row r="61" spans="1:13" ht="24.75" customHeight="1">
      <c r="A61" s="40" t="s">
        <v>90</v>
      </c>
      <c r="B61" s="3"/>
      <c r="C61" s="262"/>
      <c r="D61" s="262"/>
      <c r="E61" s="262"/>
      <c r="F61" s="262"/>
      <c r="G61" s="262"/>
      <c r="H61" s="657" t="s">
        <v>93</v>
      </c>
      <c r="I61" s="674"/>
      <c r="J61" s="674"/>
      <c r="K61" s="658"/>
      <c r="L61" s="115"/>
      <c r="M61" s="62"/>
    </row>
    <row r="62" spans="1:13" ht="24.75" customHeight="1">
      <c r="A62" s="40" t="s">
        <v>91</v>
      </c>
      <c r="B62" s="5"/>
      <c r="C62" s="17"/>
      <c r="D62" s="17"/>
      <c r="E62" s="17"/>
      <c r="F62" s="17"/>
      <c r="G62" s="17"/>
      <c r="H62" s="657" t="s">
        <v>94</v>
      </c>
      <c r="I62" s="674"/>
      <c r="J62" s="674"/>
      <c r="K62" s="658"/>
      <c r="L62" s="115"/>
      <c r="M62" s="62"/>
    </row>
    <row r="63" spans="1:13" ht="24.75" customHeight="1">
      <c r="A63" s="40"/>
      <c r="B63" s="5"/>
      <c r="C63" s="17"/>
      <c r="D63" s="17"/>
      <c r="E63" s="17"/>
      <c r="F63" s="17"/>
      <c r="G63" s="17"/>
      <c r="H63" s="269" t="s">
        <v>95</v>
      </c>
      <c r="I63" s="270"/>
      <c r="J63" s="270"/>
      <c r="K63" s="271"/>
      <c r="L63" s="115"/>
      <c r="M63" s="62"/>
    </row>
    <row r="64" spans="1:13" ht="24.75" customHeight="1">
      <c r="A64" s="40"/>
      <c r="B64" s="5"/>
      <c r="C64" s="17"/>
      <c r="D64" s="17"/>
      <c r="E64" s="17"/>
      <c r="F64" s="17"/>
      <c r="G64" s="17"/>
      <c r="H64" s="276"/>
      <c r="I64" s="51" t="s">
        <v>97</v>
      </c>
      <c r="J64" s="111">
        <v>0</v>
      </c>
      <c r="K64" s="277" t="s">
        <v>96</v>
      </c>
      <c r="L64" s="115"/>
      <c r="M64" s="62"/>
    </row>
    <row r="65" spans="1:32" ht="24.75" customHeight="1">
      <c r="A65" s="40"/>
      <c r="B65" s="5"/>
      <c r="C65" s="17"/>
      <c r="D65" s="17"/>
      <c r="E65" s="17"/>
      <c r="F65" s="17"/>
      <c r="G65" s="17"/>
      <c r="H65" s="276"/>
      <c r="I65" s="51" t="s">
        <v>98</v>
      </c>
      <c r="J65" s="111">
        <v>0</v>
      </c>
      <c r="K65" s="277" t="s">
        <v>96</v>
      </c>
      <c r="L65" s="115"/>
      <c r="M65" s="62"/>
    </row>
    <row r="66" spans="1:32" ht="24.75" customHeight="1">
      <c r="A66" s="40"/>
      <c r="B66" s="5"/>
      <c r="C66" s="17"/>
      <c r="D66" s="17"/>
      <c r="E66" s="17"/>
      <c r="F66" s="17"/>
      <c r="G66" s="17"/>
      <c r="H66" s="269"/>
      <c r="I66" s="51" t="s">
        <v>35</v>
      </c>
      <c r="J66" s="111">
        <v>0</v>
      </c>
      <c r="K66" s="271" t="s">
        <v>51</v>
      </c>
      <c r="L66" s="115"/>
      <c r="M66" s="62"/>
    </row>
    <row r="67" spans="1:32" ht="24.75" customHeight="1">
      <c r="A67" s="40"/>
      <c r="B67" s="5"/>
      <c r="C67" s="17"/>
      <c r="D67" s="17"/>
      <c r="E67" s="17"/>
      <c r="F67" s="17"/>
      <c r="G67" s="17"/>
      <c r="H67" s="48"/>
      <c r="I67" s="66"/>
      <c r="J67" s="66"/>
      <c r="K67" s="105"/>
      <c r="L67" s="115"/>
      <c r="M67" s="62"/>
    </row>
    <row r="68" spans="1:32" ht="24.75" customHeight="1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675" t="s">
        <v>103</v>
      </c>
      <c r="I68" s="672"/>
      <c r="J68" s="672"/>
      <c r="K68" s="673"/>
      <c r="L68" s="243">
        <f>'[1]6 เดือน'!$L$68</f>
        <v>1</v>
      </c>
      <c r="M68" s="61">
        <f>IF(L68=0,"-",L68*B68/B$94)</f>
        <v>0.05</v>
      </c>
    </row>
    <row r="69" spans="1:32" ht="24.75" customHeight="1">
      <c r="A69" s="40" t="s">
        <v>102</v>
      </c>
      <c r="B69" s="5"/>
      <c r="C69" s="17"/>
      <c r="D69" s="17"/>
      <c r="E69" s="17"/>
      <c r="F69" s="17"/>
      <c r="G69" s="17"/>
      <c r="H69" s="657" t="s">
        <v>104</v>
      </c>
      <c r="I69" s="674"/>
      <c r="J69" s="674"/>
      <c r="K69" s="658"/>
      <c r="L69" s="115"/>
      <c r="M69" s="62"/>
    </row>
    <row r="70" spans="1:32" ht="24.75" customHeight="1">
      <c r="A70" s="40"/>
      <c r="B70" s="5"/>
      <c r="C70" s="17"/>
      <c r="D70" s="17"/>
      <c r="E70" s="17"/>
      <c r="F70" s="17"/>
      <c r="G70" s="17"/>
      <c r="H70" s="657" t="s">
        <v>105</v>
      </c>
      <c r="I70" s="674"/>
      <c r="J70" s="674"/>
      <c r="K70" s="658"/>
      <c r="L70" s="115"/>
      <c r="M70" s="62"/>
    </row>
    <row r="71" spans="1:32" ht="24.75" customHeight="1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271" t="s">
        <v>51</v>
      </c>
      <c r="L71" s="115"/>
      <c r="M71" s="62"/>
    </row>
    <row r="72" spans="1:32" ht="24.75" customHeight="1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675" t="s">
        <v>108</v>
      </c>
      <c r="I73" s="672"/>
      <c r="J73" s="672"/>
      <c r="K73" s="673"/>
      <c r="L73" s="243">
        <f>'[1]6 เดือน'!$L$73</f>
        <v>1</v>
      </c>
      <c r="M73" s="61">
        <f>IF(L73=0,"-",L73*B73/B$94)</f>
        <v>0.05</v>
      </c>
      <c r="P73" s="263"/>
    </row>
    <row r="74" spans="1:32" ht="24.75" customHeight="1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657" t="s">
        <v>109</v>
      </c>
      <c r="I74" s="674"/>
      <c r="J74" s="674"/>
      <c r="K74" s="658"/>
      <c r="L74" s="115"/>
      <c r="M74" s="62"/>
    </row>
    <row r="75" spans="1:32" ht="24.75" customHeight="1">
      <c r="A75" s="40"/>
      <c r="B75" s="5"/>
      <c r="C75" s="23"/>
      <c r="D75" s="23"/>
      <c r="E75" s="23"/>
      <c r="F75" s="23"/>
      <c r="G75" s="23"/>
      <c r="H75" s="657" t="s">
        <v>110</v>
      </c>
      <c r="I75" s="674"/>
      <c r="J75" s="674"/>
      <c r="K75" s="658"/>
      <c r="L75" s="115"/>
      <c r="M75" s="62"/>
    </row>
    <row r="76" spans="1:32" ht="24.75" customHeight="1">
      <c r="A76" s="40"/>
      <c r="B76" s="5"/>
      <c r="C76" s="23"/>
      <c r="D76" s="23"/>
      <c r="E76" s="23"/>
      <c r="F76" s="23"/>
      <c r="G76" s="23"/>
      <c r="H76" s="657" t="s">
        <v>111</v>
      </c>
      <c r="I76" s="674"/>
      <c r="J76" s="674"/>
      <c r="K76" s="658"/>
      <c r="L76" s="115"/>
      <c r="M76" s="62"/>
    </row>
    <row r="77" spans="1:32" ht="24.75" customHeight="1">
      <c r="A77" s="40"/>
      <c r="B77" s="5"/>
      <c r="C77" s="23"/>
      <c r="D77" s="23"/>
      <c r="E77" s="23"/>
      <c r="F77" s="23"/>
      <c r="G77" s="23"/>
      <c r="H77" s="269"/>
      <c r="I77" s="51" t="s">
        <v>112</v>
      </c>
      <c r="J77" s="111">
        <v>0</v>
      </c>
      <c r="K77" s="277"/>
      <c r="L77" s="115"/>
      <c r="M77" s="62"/>
      <c r="R77" s="264"/>
    </row>
    <row r="78" spans="1:32" ht="27" customHeight="1">
      <c r="A78" s="50"/>
      <c r="B78" s="14"/>
      <c r="C78" s="20"/>
      <c r="D78" s="20"/>
      <c r="E78" s="20"/>
      <c r="F78" s="20"/>
      <c r="G78" s="20"/>
      <c r="H78" s="96"/>
      <c r="I78" s="274"/>
      <c r="J78" s="274"/>
      <c r="K78" s="275"/>
      <c r="L78" s="116"/>
      <c r="M78" s="63"/>
    </row>
    <row r="79" spans="1:32" ht="24.75" customHeight="1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675" t="s">
        <v>123</v>
      </c>
      <c r="I79" s="672"/>
      <c r="J79" s="672"/>
      <c r="K79" s="673"/>
      <c r="L79" s="243">
        <f>'[1]9 เดือน'!$L$79</f>
        <v>4.4518716577540109</v>
      </c>
      <c r="M79" s="61">
        <f>IF(L79=0,"-",L79*B79/B$94)</f>
        <v>0.22259358288770056</v>
      </c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</row>
    <row r="80" spans="1:32" ht="24.75" customHeight="1">
      <c r="A80" s="56" t="s">
        <v>36</v>
      </c>
      <c r="B80" s="27"/>
      <c r="C80" s="17"/>
      <c r="D80" s="17"/>
      <c r="E80" s="17"/>
      <c r="F80" s="17"/>
      <c r="G80" s="28"/>
      <c r="H80" s="269" t="s">
        <v>124</v>
      </c>
      <c r="I80" s="92"/>
      <c r="J80" s="108"/>
      <c r="K80" s="105"/>
      <c r="L80" s="117"/>
      <c r="M80" s="62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</row>
    <row r="81" spans="1:32" ht="24.75" customHeight="1">
      <c r="A81" s="56"/>
      <c r="B81" s="27"/>
      <c r="C81" s="17"/>
      <c r="D81" s="17"/>
      <c r="E81" s="17"/>
      <c r="F81" s="17"/>
      <c r="G81" s="17"/>
      <c r="H81" s="270" t="s">
        <v>125</v>
      </c>
      <c r="I81" s="92"/>
      <c r="J81" s="108"/>
      <c r="K81" s="105"/>
      <c r="L81" s="117"/>
      <c r="M81" s="62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</row>
    <row r="82" spans="1:32" ht="24.75" customHeight="1">
      <c r="A82" s="56"/>
      <c r="B82" s="27"/>
      <c r="C82" s="17"/>
      <c r="D82" s="17"/>
      <c r="E82" s="17"/>
      <c r="F82" s="17"/>
      <c r="G82" s="17"/>
      <c r="H82" s="269" t="s">
        <v>126</v>
      </c>
      <c r="I82" s="92"/>
      <c r="J82" s="108"/>
      <c r="K82" s="105"/>
      <c r="L82" s="117"/>
      <c r="M82" s="62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</row>
    <row r="83" spans="1:32" ht="24.75" customHeight="1">
      <c r="A83" s="56"/>
      <c r="B83" s="27"/>
      <c r="C83" s="17"/>
      <c r="D83" s="17"/>
      <c r="E83" s="17"/>
      <c r="F83" s="17"/>
      <c r="G83" s="17"/>
      <c r="H83" s="269" t="s">
        <v>127</v>
      </c>
      <c r="I83" s="92"/>
      <c r="J83" s="108"/>
      <c r="K83" s="105"/>
      <c r="L83" s="117"/>
      <c r="M83" s="62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</row>
    <row r="84" spans="1:32" ht="24.75" customHeight="1">
      <c r="A84" s="56"/>
      <c r="B84" s="27"/>
      <c r="C84" s="17"/>
      <c r="D84" s="17"/>
      <c r="E84" s="17"/>
      <c r="F84" s="17"/>
      <c r="G84" s="17"/>
      <c r="H84" s="269"/>
      <c r="I84" s="51" t="s">
        <v>114</v>
      </c>
      <c r="J84" s="246">
        <f>L79</f>
        <v>4.4518716577540109</v>
      </c>
      <c r="K84" s="277"/>
      <c r="L84" s="117"/>
      <c r="M84" s="62"/>
      <c r="O84" s="265"/>
      <c r="P84" s="265"/>
      <c r="Q84" s="265"/>
      <c r="R84" s="265"/>
      <c r="S84" s="265"/>
      <c r="T84" s="265"/>
      <c r="U84" s="265"/>
      <c r="V84" s="266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</row>
    <row r="85" spans="1:32" ht="24.75" customHeight="1">
      <c r="A85" s="60"/>
      <c r="B85" s="29"/>
      <c r="C85" s="20"/>
      <c r="D85" s="20"/>
      <c r="E85" s="20"/>
      <c r="F85" s="20"/>
      <c r="G85" s="20"/>
      <c r="H85" s="97"/>
      <c r="I85" s="274"/>
      <c r="J85" s="274"/>
      <c r="K85" s="275"/>
      <c r="L85" s="118"/>
      <c r="M85" s="63"/>
    </row>
    <row r="86" spans="1:32" ht="24.75" customHeight="1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675" t="s">
        <v>117</v>
      </c>
      <c r="I86" s="672"/>
      <c r="J86" s="672"/>
      <c r="K86" s="673"/>
      <c r="L86" s="243">
        <f>'[1]10 เดือน'!$L$86</f>
        <v>4.1454545454545446</v>
      </c>
      <c r="M86" s="61">
        <f>IF(L86=0,"-",L86*B86/B$94)</f>
        <v>0.20727272727272722</v>
      </c>
    </row>
    <row r="87" spans="1:32" ht="24.75" customHeight="1">
      <c r="A87" s="40" t="s">
        <v>116</v>
      </c>
      <c r="B87" s="5"/>
      <c r="C87" s="17"/>
      <c r="D87" s="17"/>
      <c r="E87" s="17"/>
      <c r="F87" s="17"/>
      <c r="G87" s="17"/>
      <c r="H87" s="657" t="s">
        <v>118</v>
      </c>
      <c r="I87" s="674"/>
      <c r="J87" s="674"/>
      <c r="K87" s="658"/>
      <c r="L87" s="115"/>
      <c r="M87" s="62"/>
    </row>
    <row r="88" spans="1:32" ht="24.75" customHeight="1">
      <c r="A88" s="40"/>
      <c r="B88" s="5"/>
      <c r="C88" s="17"/>
      <c r="D88" s="17"/>
      <c r="E88" s="17"/>
      <c r="F88" s="17"/>
      <c r="G88" s="17"/>
      <c r="H88" s="657" t="s">
        <v>119</v>
      </c>
      <c r="I88" s="674"/>
      <c r="J88" s="674"/>
      <c r="K88" s="658"/>
      <c r="L88" s="115"/>
      <c r="M88" s="62"/>
    </row>
    <row r="89" spans="1:32" ht="24.75" customHeight="1">
      <c r="A89" s="40"/>
      <c r="B89" s="5"/>
      <c r="C89" s="17"/>
      <c r="D89" s="17"/>
      <c r="E89" s="17"/>
      <c r="F89" s="17"/>
      <c r="G89" s="17"/>
      <c r="H89" s="269" t="s">
        <v>120</v>
      </c>
      <c r="I89" s="270"/>
      <c r="J89" s="270"/>
      <c r="K89" s="271"/>
      <c r="L89" s="115"/>
      <c r="M89" s="62"/>
    </row>
    <row r="90" spans="1:32" ht="24.75" customHeight="1">
      <c r="A90" s="40"/>
      <c r="B90" s="5"/>
      <c r="C90" s="17"/>
      <c r="D90" s="17"/>
      <c r="E90" s="17"/>
      <c r="F90" s="17"/>
      <c r="G90" s="17"/>
      <c r="H90" s="269" t="s">
        <v>121</v>
      </c>
      <c r="I90" s="270"/>
      <c r="J90" s="270"/>
      <c r="K90" s="271"/>
      <c r="L90" s="115"/>
      <c r="M90" s="62"/>
    </row>
    <row r="91" spans="1:32" ht="24.75" customHeight="1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1">
        <f>'[1]10 เดือน'!$J$91</f>
        <v>95.727272727272734</v>
      </c>
      <c r="K91" s="271" t="s">
        <v>51</v>
      </c>
      <c r="L91" s="115"/>
      <c r="M91" s="62"/>
    </row>
    <row r="92" spans="1:32" ht="24.75" customHeight="1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>
      <c r="A93" s="687" t="s">
        <v>129</v>
      </c>
      <c r="B93" s="688"/>
      <c r="C93" s="688"/>
      <c r="D93" s="688"/>
      <c r="E93" s="688"/>
      <c r="F93" s="688"/>
      <c r="G93" s="688"/>
      <c r="H93" s="688"/>
      <c r="I93" s="688"/>
      <c r="J93" s="688"/>
      <c r="K93" s="688"/>
      <c r="L93" s="689"/>
      <c r="M93" s="267">
        <f>SUM(M86,M79,M73,M68,M60,M54,M49,M41,M35,M29,M24,M17,M9,M6)</f>
        <v>1.5787401059215067</v>
      </c>
    </row>
    <row r="94" spans="1:32">
      <c r="B94" s="268">
        <f>SUM(B6:B92)</f>
        <v>100</v>
      </c>
    </row>
  </sheetData>
  <mergeCells count="53"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  <mergeCell ref="H69:K69"/>
    <mergeCell ref="H48:K48"/>
    <mergeCell ref="H49:K49"/>
    <mergeCell ref="H50:K50"/>
    <mergeCell ref="H51:K51"/>
    <mergeCell ref="H53:K53"/>
    <mergeCell ref="H54:K54"/>
    <mergeCell ref="H55:K55"/>
    <mergeCell ref="H60:K60"/>
    <mergeCell ref="H61:K61"/>
    <mergeCell ref="H62:K62"/>
    <mergeCell ref="H68:K68"/>
    <mergeCell ref="H43:K43"/>
    <mergeCell ref="H26:K26"/>
    <mergeCell ref="H29:K29"/>
    <mergeCell ref="H30:K30"/>
    <mergeCell ref="H31:K31"/>
    <mergeCell ref="H32:K32"/>
    <mergeCell ref="H35:K35"/>
    <mergeCell ref="H36:K36"/>
    <mergeCell ref="H37:K37"/>
    <mergeCell ref="H38:K38"/>
    <mergeCell ref="H41:K41"/>
    <mergeCell ref="H42:K42"/>
    <mergeCell ref="H25:K25"/>
    <mergeCell ref="H11:I11"/>
    <mergeCell ref="H13:I13"/>
    <mergeCell ref="H14:I14"/>
    <mergeCell ref="H15:I15"/>
    <mergeCell ref="H17:K17"/>
    <mergeCell ref="H18:K18"/>
    <mergeCell ref="H19:K19"/>
    <mergeCell ref="H20:K20"/>
    <mergeCell ref="H21:K21"/>
    <mergeCell ref="H23:K23"/>
    <mergeCell ref="H24:K24"/>
    <mergeCell ref="H9:I10"/>
    <mergeCell ref="J9:K9"/>
    <mergeCell ref="A1:M1"/>
    <mergeCell ref="A2:M2"/>
    <mergeCell ref="C4:G4"/>
    <mergeCell ref="H4:K5"/>
    <mergeCell ref="L4:L5"/>
  </mergeCells>
  <printOptions horizontalCentered="1"/>
  <pageMargins left="0.2" right="0.1" top="0.55118110236220497" bottom="0.27559055118110198" header="0.196850393700787" footer="0.47244094488188998"/>
  <pageSetup paperSize="9" scale="80" orientation="landscape" r:id="rId1"/>
  <headerFooter scaleWithDoc="0">
    <oddHeader>&amp;R&amp;"TH SarabunIT๙,ธรรมดา"&amp;16&amp;P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F94"/>
  <sheetViews>
    <sheetView topLeftCell="A20" zoomScale="80" zoomScaleNormal="80" zoomScaleSheetLayoutView="90" zoomScalePageLayoutView="50" workbookViewId="0">
      <selection activeCell="F99" activeCellId="1" sqref="A79 F99"/>
    </sheetView>
  </sheetViews>
  <sheetFormatPr defaultColWidth="9.140625" defaultRowHeight="23.25"/>
  <cols>
    <col min="1" max="1" width="38" style="95" customWidth="1"/>
    <col min="2" max="2" width="9.7109375" style="95" customWidth="1"/>
    <col min="3" max="3" width="9.85546875" style="95" customWidth="1"/>
    <col min="4" max="7" width="9.28515625" style="95" customWidth="1"/>
    <col min="8" max="9" width="9.85546875" style="95" customWidth="1"/>
    <col min="10" max="10" width="13.140625" style="95" customWidth="1"/>
    <col min="11" max="11" width="27.28515625" style="95" customWidth="1"/>
    <col min="12" max="12" width="11.5703125" style="95" customWidth="1"/>
    <col min="13" max="13" width="11.140625" style="95" customWidth="1"/>
    <col min="14" max="16384" width="9.140625" style="95"/>
  </cols>
  <sheetData>
    <row r="1" spans="1:16" ht="27.75">
      <c r="A1" s="690" t="s">
        <v>0</v>
      </c>
      <c r="B1" s="691"/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</row>
    <row r="2" spans="1:16" ht="27.75">
      <c r="A2" s="690" t="s">
        <v>45</v>
      </c>
      <c r="B2" s="691"/>
      <c r="C2" s="691"/>
      <c r="D2" s="691"/>
      <c r="E2" s="691"/>
      <c r="F2" s="691"/>
      <c r="G2" s="691"/>
      <c r="H2" s="691"/>
      <c r="I2" s="691"/>
      <c r="J2" s="691"/>
      <c r="K2" s="691"/>
      <c r="L2" s="691"/>
      <c r="M2" s="691"/>
    </row>
    <row r="3" spans="1:16" ht="26.25" customHeight="1">
      <c r="A3" s="247" t="s">
        <v>136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9" t="s">
        <v>37</v>
      </c>
    </row>
    <row r="4" spans="1:16" s="251" customFormat="1" ht="24.75" customHeight="1">
      <c r="A4" s="26" t="s">
        <v>1</v>
      </c>
      <c r="B4" s="26" t="s">
        <v>2</v>
      </c>
      <c r="C4" s="692" t="s">
        <v>3</v>
      </c>
      <c r="D4" s="692"/>
      <c r="E4" s="692"/>
      <c r="F4" s="692"/>
      <c r="G4" s="692"/>
      <c r="H4" s="693" t="s">
        <v>4</v>
      </c>
      <c r="I4" s="694"/>
      <c r="J4" s="694"/>
      <c r="K4" s="695"/>
      <c r="L4" s="699" t="s">
        <v>5</v>
      </c>
      <c r="M4" s="250" t="s">
        <v>6</v>
      </c>
    </row>
    <row r="5" spans="1:16" s="251" customFormat="1" ht="24.75" customHeight="1">
      <c r="A5" s="63" t="s">
        <v>7</v>
      </c>
      <c r="B5" s="63" t="s">
        <v>8</v>
      </c>
      <c r="C5" s="252">
        <v>1</v>
      </c>
      <c r="D5" s="252">
        <v>2</v>
      </c>
      <c r="E5" s="252">
        <v>3</v>
      </c>
      <c r="F5" s="252">
        <v>4</v>
      </c>
      <c r="G5" s="252">
        <v>5</v>
      </c>
      <c r="H5" s="696"/>
      <c r="I5" s="697"/>
      <c r="J5" s="697"/>
      <c r="K5" s="698"/>
      <c r="L5" s="699"/>
      <c r="M5" s="253" t="s">
        <v>9</v>
      </c>
    </row>
    <row r="6" spans="1:16" ht="23.25" customHeight="1">
      <c r="A6" s="38" t="s">
        <v>10</v>
      </c>
      <c r="B6" s="109">
        <v>10</v>
      </c>
      <c r="C6" s="242">
        <v>0.6</v>
      </c>
      <c r="D6" s="242">
        <v>0.7</v>
      </c>
      <c r="E6" s="242">
        <v>0.8</v>
      </c>
      <c r="F6" s="242">
        <v>0.9</v>
      </c>
      <c r="G6" s="242">
        <v>1</v>
      </c>
      <c r="H6" s="282" t="s">
        <v>128</v>
      </c>
      <c r="I6" s="68"/>
      <c r="J6" s="68"/>
      <c r="K6" s="69"/>
      <c r="L6" s="114">
        <f>'[1]11 เดือน'!$L$6</f>
        <v>2.9230000000000005</v>
      </c>
      <c r="M6" s="61">
        <f>IF(L6=0,"-",L6*B6/B$94)</f>
        <v>0.29230000000000006</v>
      </c>
    </row>
    <row r="7" spans="1:16" ht="23.25" customHeight="1">
      <c r="A7" s="39" t="s">
        <v>12</v>
      </c>
      <c r="B7" s="3"/>
      <c r="C7" s="244"/>
      <c r="D7" s="244"/>
      <c r="E7" s="244"/>
      <c r="F7" s="244"/>
      <c r="G7" s="244"/>
      <c r="H7" s="280" t="s">
        <v>40</v>
      </c>
      <c r="I7" s="70"/>
      <c r="J7" s="113">
        <f>'[1]11 เดือน'!$J$7</f>
        <v>79.23</v>
      </c>
      <c r="K7" s="71" t="s">
        <v>51</v>
      </c>
      <c r="L7" s="115"/>
      <c r="M7" s="62"/>
    </row>
    <row r="8" spans="1:16" ht="23.25" customHeight="1">
      <c r="A8" s="40"/>
      <c r="B8" s="5"/>
      <c r="C8" s="20"/>
      <c r="D8" s="20"/>
      <c r="E8" s="20"/>
      <c r="F8" s="20"/>
      <c r="G8" s="20"/>
      <c r="H8" s="28"/>
      <c r="I8" s="70"/>
      <c r="J8" s="70"/>
      <c r="K8" s="78"/>
      <c r="L8" s="115"/>
      <c r="M8" s="62"/>
    </row>
    <row r="9" spans="1:16" ht="23.25" customHeight="1">
      <c r="A9" s="38" t="s">
        <v>13</v>
      </c>
      <c r="B9" s="109">
        <v>10</v>
      </c>
      <c r="C9" s="240">
        <v>12456</v>
      </c>
      <c r="D9" s="241">
        <v>14532</v>
      </c>
      <c r="E9" s="241">
        <v>16608</v>
      </c>
      <c r="F9" s="241">
        <v>18684</v>
      </c>
      <c r="G9" s="241">
        <v>20760</v>
      </c>
      <c r="H9" s="652" t="s">
        <v>14</v>
      </c>
      <c r="I9" s="653"/>
      <c r="J9" s="654" t="s">
        <v>15</v>
      </c>
      <c r="K9" s="654"/>
      <c r="L9" s="114">
        <f>'[1]11 เดือน'!$L$9</f>
        <v>4.1522157996146438</v>
      </c>
      <c r="M9" s="61">
        <f>IF(L9=0,"-",L9*B9/B$94)</f>
        <v>0.41522157996146442</v>
      </c>
      <c r="O9" s="254"/>
      <c r="P9" s="255"/>
    </row>
    <row r="10" spans="1:16" ht="23.25" customHeight="1">
      <c r="A10" s="40" t="s">
        <v>16</v>
      </c>
      <c r="B10" s="3"/>
      <c r="C10" s="256" t="s">
        <v>38</v>
      </c>
      <c r="D10" s="256" t="s">
        <v>38</v>
      </c>
      <c r="E10" s="256" t="s">
        <v>39</v>
      </c>
      <c r="F10" s="256" t="s">
        <v>38</v>
      </c>
      <c r="G10" s="256" t="s">
        <v>38</v>
      </c>
      <c r="H10" s="652"/>
      <c r="I10" s="653"/>
      <c r="J10" s="288" t="s">
        <v>17</v>
      </c>
      <c r="K10" s="288" t="s">
        <v>18</v>
      </c>
      <c r="L10" s="115"/>
      <c r="M10" s="62"/>
      <c r="O10" s="254"/>
      <c r="P10" s="257"/>
    </row>
    <row r="11" spans="1:16" ht="23.25" customHeight="1">
      <c r="A11" s="40"/>
      <c r="B11" s="3"/>
      <c r="C11" s="258"/>
      <c r="D11" s="258"/>
      <c r="E11" s="258"/>
      <c r="F11" s="258"/>
      <c r="G11" s="258"/>
      <c r="H11" s="655" t="s">
        <v>19</v>
      </c>
      <c r="I11" s="656"/>
      <c r="J11" s="73">
        <v>19000</v>
      </c>
      <c r="K11" s="290">
        <f>'[1]11 เดือน'!$K$11</f>
        <v>19000</v>
      </c>
      <c r="L11" s="115"/>
      <c r="M11" s="62"/>
    </row>
    <row r="12" spans="1:16" ht="23.25" customHeight="1">
      <c r="A12" s="40"/>
      <c r="B12" s="5"/>
      <c r="C12" s="259"/>
      <c r="D12" s="17"/>
      <c r="E12" s="17"/>
      <c r="F12" s="17"/>
      <c r="G12" s="17"/>
      <c r="H12" s="282" t="s">
        <v>41</v>
      </c>
      <c r="I12" s="283"/>
      <c r="J12" s="74">
        <v>1760</v>
      </c>
      <c r="K12" s="65" t="s">
        <v>11</v>
      </c>
      <c r="L12" s="115"/>
      <c r="M12" s="62"/>
    </row>
    <row r="13" spans="1:16" ht="23.25" customHeight="1">
      <c r="A13" s="40"/>
      <c r="B13" s="5"/>
      <c r="C13" s="17"/>
      <c r="D13" s="17"/>
      <c r="E13" s="17"/>
      <c r="F13" s="17"/>
      <c r="G13" s="17"/>
      <c r="H13" s="657" t="s">
        <v>42</v>
      </c>
      <c r="I13" s="658"/>
      <c r="J13" s="86"/>
      <c r="K13" s="87"/>
      <c r="L13" s="115"/>
      <c r="M13" s="62"/>
    </row>
    <row r="14" spans="1:16" ht="23.25" customHeight="1">
      <c r="A14" s="40"/>
      <c r="B14" s="5"/>
      <c r="C14" s="17"/>
      <c r="D14" s="17"/>
      <c r="E14" s="17"/>
      <c r="F14" s="17"/>
      <c r="G14" s="17"/>
      <c r="H14" s="669" t="s">
        <v>43</v>
      </c>
      <c r="I14" s="670"/>
      <c r="J14" s="88"/>
      <c r="K14" s="89"/>
      <c r="L14" s="115"/>
      <c r="M14" s="62"/>
    </row>
    <row r="15" spans="1:16" ht="23.25" customHeight="1" thickBot="1">
      <c r="A15" s="40"/>
      <c r="B15" s="5"/>
      <c r="C15" s="17"/>
      <c r="D15" s="17"/>
      <c r="E15" s="17"/>
      <c r="F15" s="17"/>
      <c r="G15" s="17"/>
      <c r="H15" s="671" t="s">
        <v>20</v>
      </c>
      <c r="I15" s="671"/>
      <c r="J15" s="90">
        <f>SUM(J11:J12)</f>
        <v>20760</v>
      </c>
      <c r="K15" s="291">
        <f>SUM(K11:K12)</f>
        <v>19000</v>
      </c>
      <c r="L15" s="115"/>
      <c r="M15" s="62"/>
    </row>
    <row r="16" spans="1:16" ht="23.25" customHeight="1" thickTop="1">
      <c r="A16" s="40"/>
      <c r="B16" s="5"/>
      <c r="C16" s="17"/>
      <c r="D16" s="17"/>
      <c r="E16" s="17"/>
      <c r="F16" s="17"/>
      <c r="G16" s="17"/>
      <c r="H16" s="3"/>
      <c r="I16" s="92"/>
      <c r="J16" s="93"/>
      <c r="K16" s="94"/>
      <c r="L16" s="115"/>
      <c r="M16" s="62"/>
    </row>
    <row r="17" spans="1:13" ht="23.25" customHeight="1">
      <c r="A17" s="38" t="s">
        <v>52</v>
      </c>
      <c r="B17" s="109">
        <v>5</v>
      </c>
      <c r="C17" s="242">
        <v>0.65</v>
      </c>
      <c r="D17" s="242">
        <v>0.7</v>
      </c>
      <c r="E17" s="242">
        <v>0.75</v>
      </c>
      <c r="F17" s="242">
        <v>0.8</v>
      </c>
      <c r="G17" s="242">
        <v>0.85</v>
      </c>
      <c r="H17" s="675" t="s">
        <v>46</v>
      </c>
      <c r="I17" s="672"/>
      <c r="J17" s="672"/>
      <c r="K17" s="673"/>
      <c r="L17" s="114">
        <v>4.1900000000000004</v>
      </c>
      <c r="M17" s="61">
        <f>IF(L17=0,"-",L17*B17/B$94)</f>
        <v>0.20950000000000002</v>
      </c>
    </row>
    <row r="18" spans="1:13" ht="23.25" customHeight="1">
      <c r="A18" s="40" t="s">
        <v>44</v>
      </c>
      <c r="B18" s="5"/>
      <c r="C18" s="17"/>
      <c r="D18" s="17"/>
      <c r="E18" s="17"/>
      <c r="F18" s="17"/>
      <c r="G18" s="17"/>
      <c r="H18" s="657" t="s">
        <v>47</v>
      </c>
      <c r="I18" s="674"/>
      <c r="J18" s="674"/>
      <c r="K18" s="658"/>
      <c r="L18" s="115"/>
      <c r="M18" s="62"/>
    </row>
    <row r="19" spans="1:13" ht="23.25" customHeight="1">
      <c r="A19" s="40"/>
      <c r="B19" s="5"/>
      <c r="C19" s="17"/>
      <c r="D19" s="17"/>
      <c r="E19" s="17"/>
      <c r="F19" s="17"/>
      <c r="G19" s="17"/>
      <c r="H19" s="657" t="s">
        <v>48</v>
      </c>
      <c r="I19" s="674"/>
      <c r="J19" s="674"/>
      <c r="K19" s="658"/>
      <c r="L19" s="115"/>
      <c r="M19" s="62"/>
    </row>
    <row r="20" spans="1:13" ht="23.25" customHeight="1">
      <c r="A20" s="40"/>
      <c r="B20" s="5"/>
      <c r="C20" s="17"/>
      <c r="D20" s="17"/>
      <c r="E20" s="17"/>
      <c r="F20" s="17"/>
      <c r="G20" s="17"/>
      <c r="H20" s="657" t="s">
        <v>49</v>
      </c>
      <c r="I20" s="674"/>
      <c r="J20" s="674"/>
      <c r="K20" s="658"/>
      <c r="L20" s="115"/>
      <c r="M20" s="62"/>
    </row>
    <row r="21" spans="1:13" ht="23.25" customHeight="1">
      <c r="A21" s="40"/>
      <c r="B21" s="5"/>
      <c r="C21" s="17"/>
      <c r="D21" s="17"/>
      <c r="E21" s="17"/>
      <c r="F21" s="17"/>
      <c r="G21" s="17"/>
      <c r="H21" s="657" t="s">
        <v>50</v>
      </c>
      <c r="I21" s="674"/>
      <c r="J21" s="674"/>
      <c r="K21" s="658"/>
      <c r="L21" s="115"/>
      <c r="M21" s="62"/>
    </row>
    <row r="22" spans="1:13" ht="23.25" customHeight="1">
      <c r="A22" s="40"/>
      <c r="B22" s="5"/>
      <c r="C22" s="17"/>
      <c r="D22" s="17"/>
      <c r="E22" s="17"/>
      <c r="F22" s="17"/>
      <c r="G22" s="17"/>
      <c r="I22" s="51" t="s">
        <v>54</v>
      </c>
      <c r="J22" s="112">
        <v>80.95</v>
      </c>
      <c r="K22" s="281" t="s">
        <v>51</v>
      </c>
      <c r="L22" s="115"/>
      <c r="M22" s="62"/>
    </row>
    <row r="23" spans="1:13" ht="23.25" customHeight="1">
      <c r="A23" s="50"/>
      <c r="B23" s="14"/>
      <c r="C23" s="20"/>
      <c r="D23" s="20"/>
      <c r="E23" s="20"/>
      <c r="F23" s="20"/>
      <c r="G23" s="20"/>
      <c r="H23" s="676"/>
      <c r="I23" s="677"/>
      <c r="J23" s="677"/>
      <c r="K23" s="678"/>
      <c r="L23" s="116"/>
      <c r="M23" s="63"/>
    </row>
    <row r="24" spans="1:13" ht="23.25" customHeight="1">
      <c r="A24" s="38" t="s">
        <v>53</v>
      </c>
      <c r="B24" s="109">
        <v>10</v>
      </c>
      <c r="C24" s="242">
        <v>0.73</v>
      </c>
      <c r="D24" s="242">
        <v>0.76</v>
      </c>
      <c r="E24" s="242">
        <v>0.79</v>
      </c>
      <c r="F24" s="242">
        <v>0.82</v>
      </c>
      <c r="G24" s="242">
        <v>0.85</v>
      </c>
      <c r="H24" s="672" t="s">
        <v>82</v>
      </c>
      <c r="I24" s="672"/>
      <c r="J24" s="672"/>
      <c r="K24" s="673"/>
      <c r="L24" s="243">
        <f>'[1]6 เดือน'!$L$24</f>
        <v>1</v>
      </c>
      <c r="M24" s="61">
        <f>IF(L24=0,"-",L24*B24/B$94)</f>
        <v>0.1</v>
      </c>
    </row>
    <row r="25" spans="1:13" ht="23.25" customHeight="1">
      <c r="A25" s="40" t="s">
        <v>21</v>
      </c>
      <c r="B25" s="5"/>
      <c r="C25" s="17"/>
      <c r="D25" s="17"/>
      <c r="E25" s="17"/>
      <c r="F25" s="17"/>
      <c r="G25" s="17"/>
      <c r="H25" s="657" t="s">
        <v>83</v>
      </c>
      <c r="I25" s="674"/>
      <c r="J25" s="674"/>
      <c r="K25" s="658"/>
      <c r="L25" s="115"/>
      <c r="M25" s="62"/>
    </row>
    <row r="26" spans="1:13" ht="23.25" customHeight="1">
      <c r="A26" s="40"/>
      <c r="B26" s="5"/>
      <c r="C26" s="17"/>
      <c r="D26" s="17"/>
      <c r="E26" s="17"/>
      <c r="F26" s="17"/>
      <c r="G26" s="17"/>
      <c r="H26" s="657" t="s">
        <v>55</v>
      </c>
      <c r="I26" s="674"/>
      <c r="J26" s="674"/>
      <c r="K26" s="658"/>
      <c r="L26" s="115"/>
      <c r="M26" s="62"/>
    </row>
    <row r="27" spans="1:13" ht="23.25" customHeight="1">
      <c r="A27" s="40"/>
      <c r="B27" s="5"/>
      <c r="C27" s="17"/>
      <c r="D27" s="17"/>
      <c r="E27" s="17"/>
      <c r="F27" s="17"/>
      <c r="G27" s="17"/>
      <c r="H27" s="286"/>
      <c r="I27" s="48" t="s">
        <v>56</v>
      </c>
      <c r="J27" s="112">
        <f>[6]ผอป.คญ.!$J$27</f>
        <v>52.54</v>
      </c>
      <c r="K27" s="281" t="s">
        <v>51</v>
      </c>
      <c r="L27" s="115"/>
      <c r="M27" s="62"/>
    </row>
    <row r="28" spans="1:13" ht="23.25" customHeight="1">
      <c r="A28" s="50"/>
      <c r="B28" s="14"/>
      <c r="C28" s="20"/>
      <c r="D28" s="20"/>
      <c r="E28" s="20"/>
      <c r="F28" s="20"/>
      <c r="G28" s="20"/>
      <c r="H28" s="96"/>
      <c r="I28" s="97"/>
      <c r="J28" s="97"/>
      <c r="K28" s="98"/>
      <c r="L28" s="116"/>
      <c r="M28" s="63"/>
    </row>
    <row r="29" spans="1:13" ht="24.75" customHeight="1">
      <c r="A29" s="38" t="s">
        <v>22</v>
      </c>
      <c r="B29" s="109">
        <v>5</v>
      </c>
      <c r="C29" s="16">
        <v>0.92</v>
      </c>
      <c r="D29" s="16">
        <v>0.94</v>
      </c>
      <c r="E29" s="16">
        <v>0.96</v>
      </c>
      <c r="F29" s="16">
        <v>0.98</v>
      </c>
      <c r="G29" s="16">
        <v>1</v>
      </c>
      <c r="H29" s="675" t="s">
        <v>57</v>
      </c>
      <c r="I29" s="672"/>
      <c r="J29" s="672"/>
      <c r="K29" s="673"/>
      <c r="L29" s="243">
        <f>'[1]6 เดือน'!$L$29</f>
        <v>1</v>
      </c>
      <c r="M29" s="61">
        <f>IF(L29=0,"-",L29*B29/B$94)</f>
        <v>0.05</v>
      </c>
    </row>
    <row r="30" spans="1:13" ht="24.75" customHeight="1">
      <c r="A30" s="40" t="s">
        <v>23</v>
      </c>
      <c r="B30" s="5"/>
      <c r="C30" s="17"/>
      <c r="D30" s="17"/>
      <c r="E30" s="17"/>
      <c r="F30" s="17"/>
      <c r="G30" s="17"/>
      <c r="H30" s="657" t="s">
        <v>58</v>
      </c>
      <c r="I30" s="674"/>
      <c r="J30" s="674"/>
      <c r="K30" s="658"/>
      <c r="L30" s="115"/>
      <c r="M30" s="62"/>
    </row>
    <row r="31" spans="1:13" ht="24.75" customHeight="1">
      <c r="A31" s="40" t="s">
        <v>24</v>
      </c>
      <c r="B31" s="5"/>
      <c r="C31" s="17"/>
      <c r="D31" s="17"/>
      <c r="E31" s="17"/>
      <c r="F31" s="17"/>
      <c r="G31" s="17"/>
      <c r="H31" s="657" t="s">
        <v>77</v>
      </c>
      <c r="I31" s="674"/>
      <c r="J31" s="674"/>
      <c r="K31" s="658"/>
      <c r="L31" s="115"/>
      <c r="M31" s="62"/>
    </row>
    <row r="32" spans="1:13" ht="24.75" customHeight="1">
      <c r="A32" s="40"/>
      <c r="B32" s="5"/>
      <c r="C32" s="17"/>
      <c r="D32" s="17"/>
      <c r="E32" s="17"/>
      <c r="F32" s="17"/>
      <c r="G32" s="17"/>
      <c r="H32" s="657" t="s">
        <v>59</v>
      </c>
      <c r="I32" s="674"/>
      <c r="J32" s="674"/>
      <c r="K32" s="658"/>
      <c r="L32" s="115"/>
      <c r="M32" s="62"/>
    </row>
    <row r="33" spans="1:13" ht="24.75" customHeight="1">
      <c r="A33" s="40"/>
      <c r="B33" s="5"/>
      <c r="C33" s="17"/>
      <c r="D33" s="17"/>
      <c r="E33" s="17"/>
      <c r="F33" s="17"/>
      <c r="G33" s="17"/>
      <c r="H33" s="279"/>
      <c r="I33" s="48" t="s">
        <v>56</v>
      </c>
      <c r="J33" s="112">
        <f>[6]ผอป.คญ.!$J$33</f>
        <v>70.59</v>
      </c>
      <c r="K33" s="281" t="s">
        <v>51</v>
      </c>
      <c r="L33" s="115"/>
      <c r="M33" s="62"/>
    </row>
    <row r="34" spans="1:13" ht="24.75" customHeight="1">
      <c r="A34" s="40"/>
      <c r="B34" s="5"/>
      <c r="C34" s="17"/>
      <c r="D34" s="17"/>
      <c r="E34" s="17"/>
      <c r="F34" s="17"/>
      <c r="G34" s="17"/>
      <c r="H34" s="77"/>
      <c r="I34" s="70"/>
      <c r="J34" s="70"/>
      <c r="K34" s="78"/>
      <c r="L34" s="115"/>
      <c r="M34" s="62"/>
    </row>
    <row r="35" spans="1:13" ht="24.75" customHeight="1">
      <c r="A35" s="38" t="s">
        <v>25</v>
      </c>
      <c r="B35" s="109">
        <v>10</v>
      </c>
      <c r="C35" s="16">
        <v>0.96</v>
      </c>
      <c r="D35" s="16">
        <v>0.97</v>
      </c>
      <c r="E35" s="16">
        <v>0.98</v>
      </c>
      <c r="F35" s="16">
        <v>0.99</v>
      </c>
      <c r="G35" s="16">
        <v>1</v>
      </c>
      <c r="H35" s="675" t="s">
        <v>73</v>
      </c>
      <c r="I35" s="672"/>
      <c r="J35" s="672"/>
      <c r="K35" s="673"/>
      <c r="L35" s="243">
        <v>1</v>
      </c>
      <c r="M35" s="61">
        <f>IF(L35=0,"-",L35*B35/B$94)</f>
        <v>0.1</v>
      </c>
    </row>
    <row r="36" spans="1:13" ht="24.75" customHeight="1">
      <c r="A36" s="40" t="s">
        <v>26</v>
      </c>
      <c r="B36" s="5"/>
      <c r="C36" s="17"/>
      <c r="D36" s="17"/>
      <c r="E36" s="17"/>
      <c r="F36" s="17"/>
      <c r="G36" s="17"/>
      <c r="H36" s="680" t="s">
        <v>74</v>
      </c>
      <c r="I36" s="681"/>
      <c r="J36" s="681"/>
      <c r="K36" s="682"/>
      <c r="L36" s="115"/>
      <c r="M36" s="62"/>
    </row>
    <row r="37" spans="1:13" ht="24.75" customHeight="1">
      <c r="A37" s="40"/>
      <c r="B37" s="5"/>
      <c r="C37" s="17"/>
      <c r="D37" s="17"/>
      <c r="E37" s="17"/>
      <c r="F37" s="17"/>
      <c r="G37" s="17"/>
      <c r="H37" s="680" t="s">
        <v>75</v>
      </c>
      <c r="I37" s="681"/>
      <c r="J37" s="681"/>
      <c r="K37" s="682"/>
      <c r="L37" s="115"/>
      <c r="M37" s="62"/>
    </row>
    <row r="38" spans="1:13" ht="24.75" customHeight="1">
      <c r="A38" s="40"/>
      <c r="B38" s="5"/>
      <c r="C38" s="17"/>
      <c r="D38" s="17"/>
      <c r="E38" s="17"/>
      <c r="F38" s="17"/>
      <c r="G38" s="17"/>
      <c r="H38" s="680" t="s">
        <v>76</v>
      </c>
      <c r="I38" s="683"/>
      <c r="J38" s="683"/>
      <c r="K38" s="684"/>
      <c r="L38" s="115"/>
      <c r="M38" s="62"/>
    </row>
    <row r="39" spans="1:13" ht="24.75" customHeight="1">
      <c r="A39" s="40"/>
      <c r="B39" s="5"/>
      <c r="C39" s="17"/>
      <c r="D39" s="17"/>
      <c r="E39" s="17"/>
      <c r="F39" s="17"/>
      <c r="G39" s="17"/>
      <c r="H39" s="279"/>
      <c r="I39" s="48" t="s">
        <v>56</v>
      </c>
      <c r="J39" s="112">
        <f>(1058.978*100/1790.154)</f>
        <v>59.155692750456105</v>
      </c>
      <c r="K39" s="281" t="s">
        <v>51</v>
      </c>
      <c r="L39" s="115"/>
      <c r="M39" s="62"/>
    </row>
    <row r="40" spans="1:13" ht="24.75" customHeight="1">
      <c r="A40" s="50"/>
      <c r="B40" s="14"/>
      <c r="C40" s="20"/>
      <c r="D40" s="20"/>
      <c r="E40" s="20"/>
      <c r="F40" s="20"/>
      <c r="G40" s="20"/>
      <c r="H40" s="96"/>
      <c r="I40" s="284"/>
      <c r="J40" s="284"/>
      <c r="K40" s="285"/>
      <c r="L40" s="116"/>
      <c r="M40" s="63"/>
    </row>
    <row r="41" spans="1:13" ht="24.75" customHeight="1">
      <c r="A41" s="38" t="s">
        <v>27</v>
      </c>
      <c r="B41" s="109">
        <v>10</v>
      </c>
      <c r="C41" s="16">
        <v>0.96</v>
      </c>
      <c r="D41" s="16">
        <v>0.97</v>
      </c>
      <c r="E41" s="16">
        <v>0.98</v>
      </c>
      <c r="F41" s="16">
        <v>0.99</v>
      </c>
      <c r="G41" s="16">
        <v>1</v>
      </c>
      <c r="H41" s="675" t="s">
        <v>62</v>
      </c>
      <c r="I41" s="672"/>
      <c r="J41" s="672"/>
      <c r="K41" s="673"/>
      <c r="L41" s="243">
        <f>'[1]6 เดือน'!$L$41</f>
        <v>1</v>
      </c>
      <c r="M41" s="61">
        <f>IF(L41=0,"-",L41*B41/B$94)</f>
        <v>0.1</v>
      </c>
    </row>
    <row r="42" spans="1:13" ht="24.75" customHeight="1">
      <c r="A42" s="40" t="s">
        <v>28</v>
      </c>
      <c r="B42" s="5"/>
      <c r="C42" s="17"/>
      <c r="D42" s="17"/>
      <c r="E42" s="17"/>
      <c r="F42" s="17"/>
      <c r="G42" s="17"/>
      <c r="H42" s="657" t="s">
        <v>63</v>
      </c>
      <c r="I42" s="674"/>
      <c r="J42" s="674"/>
      <c r="K42" s="658"/>
      <c r="L42" s="115"/>
      <c r="M42" s="62"/>
    </row>
    <row r="43" spans="1:13" ht="24.75" customHeight="1">
      <c r="A43" s="40" t="s">
        <v>60</v>
      </c>
      <c r="B43" s="5"/>
      <c r="C43" s="17"/>
      <c r="D43" s="17"/>
      <c r="E43" s="17"/>
      <c r="F43" s="17"/>
      <c r="G43" s="17"/>
      <c r="H43" s="657" t="s">
        <v>64</v>
      </c>
      <c r="I43" s="674"/>
      <c r="J43" s="674"/>
      <c r="K43" s="658"/>
      <c r="L43" s="115"/>
      <c r="M43" s="62"/>
    </row>
    <row r="44" spans="1:13" ht="24.75" customHeight="1">
      <c r="A44" s="40"/>
      <c r="B44" s="5"/>
      <c r="C44" s="17"/>
      <c r="D44" s="17"/>
      <c r="E44" s="17"/>
      <c r="F44" s="17"/>
      <c r="G44" s="17"/>
      <c r="H44" s="286" t="s">
        <v>65</v>
      </c>
      <c r="I44" s="51"/>
      <c r="J44" s="92"/>
      <c r="K44" s="287"/>
      <c r="L44" s="115"/>
      <c r="M44" s="62"/>
    </row>
    <row r="45" spans="1:13" ht="24.75" customHeight="1">
      <c r="A45" s="40"/>
      <c r="B45" s="5"/>
      <c r="C45" s="17"/>
      <c r="D45" s="17"/>
      <c r="E45" s="17"/>
      <c r="F45" s="17"/>
      <c r="G45" s="17"/>
      <c r="H45" s="286"/>
      <c r="I45" s="51" t="s">
        <v>66</v>
      </c>
      <c r="J45" s="289">
        <f>'[1]11 เดือน'!$J$45</f>
        <v>50</v>
      </c>
      <c r="K45" s="287" t="s">
        <v>61</v>
      </c>
      <c r="L45" s="115"/>
      <c r="M45" s="62"/>
    </row>
    <row r="46" spans="1:13" ht="24.75" customHeight="1">
      <c r="A46" s="40"/>
      <c r="B46" s="5"/>
      <c r="C46" s="17"/>
      <c r="D46" s="17"/>
      <c r="E46" s="17"/>
      <c r="F46" s="17"/>
      <c r="G46" s="17"/>
      <c r="H46" s="286"/>
      <c r="I46" s="51" t="s">
        <v>67</v>
      </c>
      <c r="J46" s="289">
        <f>'[1]11 เดือน'!$J$46</f>
        <v>31</v>
      </c>
      <c r="K46" s="287" t="s">
        <v>61</v>
      </c>
      <c r="L46" s="115"/>
      <c r="M46" s="62"/>
    </row>
    <row r="47" spans="1:13" ht="24.75" customHeight="1">
      <c r="A47" s="40"/>
      <c r="B47" s="5"/>
      <c r="C47" s="17"/>
      <c r="D47" s="17"/>
      <c r="E47" s="17"/>
      <c r="F47" s="17"/>
      <c r="G47" s="17"/>
      <c r="H47" s="279"/>
      <c r="I47" s="48" t="s">
        <v>81</v>
      </c>
      <c r="J47" s="112">
        <f>J46*100/J45</f>
        <v>62</v>
      </c>
      <c r="K47" s="281" t="s">
        <v>51</v>
      </c>
      <c r="L47" s="115"/>
      <c r="M47" s="62"/>
    </row>
    <row r="48" spans="1:13" ht="25.5">
      <c r="A48" s="40"/>
      <c r="B48" s="5"/>
      <c r="C48" s="17"/>
      <c r="D48" s="17"/>
      <c r="E48" s="17"/>
      <c r="F48" s="17"/>
      <c r="G48" s="17"/>
      <c r="H48" s="679"/>
      <c r="I48" s="677"/>
      <c r="J48" s="677"/>
      <c r="K48" s="678"/>
      <c r="L48" s="115"/>
      <c r="M48" s="62"/>
    </row>
    <row r="49" spans="1:13" ht="24.75" customHeight="1">
      <c r="A49" s="38" t="s">
        <v>68</v>
      </c>
      <c r="B49" s="109">
        <v>5</v>
      </c>
      <c r="C49" s="16">
        <v>0.5</v>
      </c>
      <c r="D49" s="16">
        <v>0.75</v>
      </c>
      <c r="E49" s="16">
        <v>1</v>
      </c>
      <c r="F49" s="16">
        <v>1</v>
      </c>
      <c r="G49" s="16">
        <v>1</v>
      </c>
      <c r="H49" s="675" t="s">
        <v>78</v>
      </c>
      <c r="I49" s="672"/>
      <c r="J49" s="672"/>
      <c r="K49" s="673"/>
      <c r="L49" s="243">
        <f>'[1]6 เดือน'!$L$49</f>
        <v>1</v>
      </c>
      <c r="M49" s="61">
        <f>IF(L49=0,"-",L49*B49/B$94)</f>
        <v>0.05</v>
      </c>
    </row>
    <row r="50" spans="1:13" ht="24.75" customHeight="1">
      <c r="A50" s="40" t="s">
        <v>69</v>
      </c>
      <c r="B50" s="3"/>
      <c r="C50" s="260"/>
      <c r="D50" s="260"/>
      <c r="E50" s="260"/>
      <c r="F50" s="260" t="s">
        <v>70</v>
      </c>
      <c r="G50" s="260" t="s">
        <v>70</v>
      </c>
      <c r="H50" s="674" t="s">
        <v>79</v>
      </c>
      <c r="I50" s="674"/>
      <c r="J50" s="674"/>
      <c r="K50" s="658"/>
      <c r="L50" s="115"/>
      <c r="M50" s="62"/>
    </row>
    <row r="51" spans="1:13" ht="24.75" customHeight="1">
      <c r="A51" s="40"/>
      <c r="B51" s="3"/>
      <c r="C51" s="260"/>
      <c r="D51" s="260"/>
      <c r="E51" s="260"/>
      <c r="F51" s="260" t="s">
        <v>71</v>
      </c>
      <c r="G51" s="260" t="s">
        <v>72</v>
      </c>
      <c r="H51" s="674" t="s">
        <v>80</v>
      </c>
      <c r="I51" s="674"/>
      <c r="J51" s="674"/>
      <c r="K51" s="658"/>
      <c r="L51" s="115"/>
      <c r="M51" s="62"/>
    </row>
    <row r="52" spans="1:13" ht="24.75" customHeight="1">
      <c r="A52" s="40"/>
      <c r="B52" s="3"/>
      <c r="C52" s="261"/>
      <c r="D52" s="261"/>
      <c r="E52" s="261"/>
      <c r="F52" s="261"/>
      <c r="G52" s="261"/>
      <c r="H52" s="279"/>
      <c r="I52" s="48" t="s">
        <v>56</v>
      </c>
      <c r="J52" s="111">
        <v>0</v>
      </c>
      <c r="K52" s="281" t="s">
        <v>51</v>
      </c>
      <c r="L52" s="115"/>
      <c r="M52" s="62"/>
    </row>
    <row r="53" spans="1:13" ht="25.5">
      <c r="A53" s="50"/>
      <c r="B53" s="14"/>
      <c r="C53" s="20"/>
      <c r="D53" s="20"/>
      <c r="E53" s="20"/>
      <c r="F53" s="20"/>
      <c r="G53" s="20"/>
      <c r="H53" s="679"/>
      <c r="I53" s="685"/>
      <c r="J53" s="685"/>
      <c r="K53" s="686"/>
      <c r="L53" s="116"/>
      <c r="M53" s="63"/>
    </row>
    <row r="54" spans="1:13" ht="24.75" customHeight="1">
      <c r="A54" s="38" t="s">
        <v>84</v>
      </c>
      <c r="B54" s="109">
        <v>10</v>
      </c>
      <c r="C54" s="16">
        <v>0.78</v>
      </c>
      <c r="D54" s="16">
        <v>0.81</v>
      </c>
      <c r="E54" s="16">
        <v>0.84</v>
      </c>
      <c r="F54" s="16">
        <v>0.87</v>
      </c>
      <c r="G54" s="16">
        <v>0.9</v>
      </c>
      <c r="H54" s="675" t="s">
        <v>99</v>
      </c>
      <c r="I54" s="672"/>
      <c r="J54" s="672"/>
      <c r="K54" s="673"/>
      <c r="L54" s="243">
        <v>1</v>
      </c>
      <c r="M54" s="61">
        <f>IF(L54=0,"-",L54*B54/B$94)</f>
        <v>0.1</v>
      </c>
    </row>
    <row r="55" spans="1:13" ht="24.75" customHeight="1">
      <c r="A55" s="40" t="s">
        <v>85</v>
      </c>
      <c r="B55" s="5"/>
      <c r="C55" s="17"/>
      <c r="D55" s="17"/>
      <c r="E55" s="17"/>
      <c r="F55" s="17"/>
      <c r="G55" s="17"/>
      <c r="H55" s="657" t="s">
        <v>100</v>
      </c>
      <c r="I55" s="674"/>
      <c r="J55" s="674"/>
      <c r="K55" s="658"/>
      <c r="L55" s="115"/>
      <c r="M55" s="62"/>
    </row>
    <row r="56" spans="1:13" ht="24.75" customHeight="1">
      <c r="A56" s="40"/>
      <c r="B56" s="5"/>
      <c r="C56" s="17"/>
      <c r="D56" s="17"/>
      <c r="E56" s="17"/>
      <c r="F56" s="17"/>
      <c r="G56" s="17"/>
      <c r="H56" s="48"/>
      <c r="I56" s="48" t="s">
        <v>87</v>
      </c>
      <c r="J56" s="112">
        <v>5887.19</v>
      </c>
      <c r="K56" s="281" t="s">
        <v>34</v>
      </c>
      <c r="L56" s="115"/>
      <c r="M56" s="62"/>
    </row>
    <row r="57" spans="1:13" ht="24.75" customHeight="1">
      <c r="A57" s="40"/>
      <c r="B57" s="5"/>
      <c r="C57" s="17"/>
      <c r="D57" s="17"/>
      <c r="E57" s="17"/>
      <c r="F57" s="17"/>
      <c r="G57" s="17"/>
      <c r="H57" s="48"/>
      <c r="I57" s="48" t="s">
        <v>86</v>
      </c>
      <c r="J57" s="112">
        <v>3776.47</v>
      </c>
      <c r="K57" s="281" t="s">
        <v>34</v>
      </c>
      <c r="L57" s="115"/>
      <c r="M57" s="62"/>
    </row>
    <row r="58" spans="1:13" ht="24.75" customHeight="1">
      <c r="A58" s="40"/>
      <c r="B58" s="5"/>
      <c r="C58" s="17"/>
      <c r="D58" s="17"/>
      <c r="E58" s="17"/>
      <c r="F58" s="17"/>
      <c r="G58" s="17"/>
      <c r="H58" s="48"/>
      <c r="I58" s="48" t="s">
        <v>88</v>
      </c>
      <c r="J58" s="112">
        <f>J57*100/J56</f>
        <v>64.147241723131074</v>
      </c>
      <c r="K58" s="281" t="s">
        <v>51</v>
      </c>
      <c r="L58" s="115"/>
      <c r="M58" s="62"/>
    </row>
    <row r="59" spans="1:13" ht="27.75" customHeight="1">
      <c r="A59" s="50"/>
      <c r="B59" s="14"/>
      <c r="C59" s="20"/>
      <c r="D59" s="20"/>
      <c r="E59" s="20"/>
      <c r="F59" s="20"/>
      <c r="G59" s="20"/>
      <c r="H59" s="102"/>
      <c r="I59" s="284"/>
      <c r="J59" s="103"/>
      <c r="K59" s="285"/>
      <c r="L59" s="116"/>
      <c r="M59" s="63"/>
    </row>
    <row r="60" spans="1:13" ht="24.75" customHeight="1">
      <c r="A60" s="38" t="s">
        <v>89</v>
      </c>
      <c r="B60" s="109">
        <v>5</v>
      </c>
      <c r="C60" s="16">
        <v>0.6</v>
      </c>
      <c r="D60" s="16">
        <v>0.65</v>
      </c>
      <c r="E60" s="16">
        <v>0.7</v>
      </c>
      <c r="F60" s="16">
        <v>0.75</v>
      </c>
      <c r="G60" s="16">
        <v>0.8</v>
      </c>
      <c r="H60" s="675" t="s">
        <v>92</v>
      </c>
      <c r="I60" s="672"/>
      <c r="J60" s="672"/>
      <c r="K60" s="673"/>
      <c r="L60" s="243">
        <f>'[1]6 เดือน'!$L$60</f>
        <v>1</v>
      </c>
      <c r="M60" s="61">
        <f>IF(L60=0,"-",L60*B60/B$94)</f>
        <v>0.05</v>
      </c>
    </row>
    <row r="61" spans="1:13" ht="24.75" customHeight="1">
      <c r="A61" s="40" t="s">
        <v>90</v>
      </c>
      <c r="B61" s="3"/>
      <c r="C61" s="262"/>
      <c r="D61" s="262"/>
      <c r="E61" s="262"/>
      <c r="F61" s="262"/>
      <c r="G61" s="262"/>
      <c r="H61" s="657" t="s">
        <v>93</v>
      </c>
      <c r="I61" s="674"/>
      <c r="J61" s="674"/>
      <c r="K61" s="658"/>
      <c r="L61" s="115"/>
      <c r="M61" s="62"/>
    </row>
    <row r="62" spans="1:13" ht="24.75" customHeight="1">
      <c r="A62" s="40" t="s">
        <v>91</v>
      </c>
      <c r="B62" s="5"/>
      <c r="C62" s="17"/>
      <c r="D62" s="17"/>
      <c r="E62" s="17"/>
      <c r="F62" s="17"/>
      <c r="G62" s="17"/>
      <c r="H62" s="657" t="s">
        <v>94</v>
      </c>
      <c r="I62" s="674"/>
      <c r="J62" s="674"/>
      <c r="K62" s="658"/>
      <c r="L62" s="115"/>
      <c r="M62" s="62"/>
    </row>
    <row r="63" spans="1:13" ht="24.75" customHeight="1">
      <c r="A63" s="40"/>
      <c r="B63" s="5"/>
      <c r="C63" s="17"/>
      <c r="D63" s="17"/>
      <c r="E63" s="17"/>
      <c r="F63" s="17"/>
      <c r="G63" s="17"/>
      <c r="H63" s="279" t="s">
        <v>95</v>
      </c>
      <c r="I63" s="280"/>
      <c r="J63" s="280"/>
      <c r="K63" s="281"/>
      <c r="L63" s="115"/>
      <c r="M63" s="62"/>
    </row>
    <row r="64" spans="1:13" ht="24.75" customHeight="1">
      <c r="A64" s="40"/>
      <c r="B64" s="5"/>
      <c r="C64" s="17"/>
      <c r="D64" s="17"/>
      <c r="E64" s="17"/>
      <c r="F64" s="17"/>
      <c r="G64" s="17"/>
      <c r="H64" s="286"/>
      <c r="I64" s="51" t="s">
        <v>97</v>
      </c>
      <c r="J64" s="111">
        <v>0</v>
      </c>
      <c r="K64" s="287" t="s">
        <v>96</v>
      </c>
      <c r="L64" s="115"/>
      <c r="M64" s="62"/>
    </row>
    <row r="65" spans="1:32" ht="24.75" customHeight="1">
      <c r="A65" s="40"/>
      <c r="B65" s="5"/>
      <c r="C65" s="17"/>
      <c r="D65" s="17"/>
      <c r="E65" s="17"/>
      <c r="F65" s="17"/>
      <c r="G65" s="17"/>
      <c r="H65" s="286"/>
      <c r="I65" s="51" t="s">
        <v>98</v>
      </c>
      <c r="J65" s="111">
        <v>0</v>
      </c>
      <c r="K65" s="287" t="s">
        <v>96</v>
      </c>
      <c r="L65" s="115"/>
      <c r="M65" s="62"/>
    </row>
    <row r="66" spans="1:32" ht="24.75" customHeight="1">
      <c r="A66" s="40"/>
      <c r="B66" s="5"/>
      <c r="C66" s="17"/>
      <c r="D66" s="17"/>
      <c r="E66" s="17"/>
      <c r="F66" s="17"/>
      <c r="G66" s="17"/>
      <c r="H66" s="279"/>
      <c r="I66" s="51" t="s">
        <v>35</v>
      </c>
      <c r="J66" s="111">
        <v>0</v>
      </c>
      <c r="K66" s="281" t="s">
        <v>51</v>
      </c>
      <c r="L66" s="115"/>
      <c r="M66" s="62"/>
    </row>
    <row r="67" spans="1:32" ht="24.75" customHeight="1">
      <c r="A67" s="40"/>
      <c r="B67" s="5"/>
      <c r="C67" s="17"/>
      <c r="D67" s="17"/>
      <c r="E67" s="17"/>
      <c r="F67" s="17"/>
      <c r="G67" s="17"/>
      <c r="H67" s="48"/>
      <c r="I67" s="66"/>
      <c r="J67" s="66"/>
      <c r="K67" s="105"/>
      <c r="L67" s="115"/>
      <c r="M67" s="62"/>
    </row>
    <row r="68" spans="1:32" ht="24.75" customHeight="1">
      <c r="A68" s="38" t="s">
        <v>101</v>
      </c>
      <c r="B68" s="110">
        <v>5</v>
      </c>
      <c r="C68" s="22">
        <v>0.65</v>
      </c>
      <c r="D68" s="22">
        <v>0.7</v>
      </c>
      <c r="E68" s="22">
        <v>0.75</v>
      </c>
      <c r="F68" s="22">
        <v>0.8</v>
      </c>
      <c r="G68" s="22">
        <v>0.85</v>
      </c>
      <c r="H68" s="675" t="s">
        <v>103</v>
      </c>
      <c r="I68" s="672"/>
      <c r="J68" s="672"/>
      <c r="K68" s="673"/>
      <c r="L68" s="243">
        <f>'[1]6 เดือน'!$L$68</f>
        <v>1</v>
      </c>
      <c r="M68" s="61">
        <f>IF(L68=0,"-",L68*B68/B$94)</f>
        <v>0.05</v>
      </c>
    </row>
    <row r="69" spans="1:32" ht="24.75" customHeight="1">
      <c r="A69" s="40" t="s">
        <v>102</v>
      </c>
      <c r="B69" s="5"/>
      <c r="C69" s="17"/>
      <c r="D69" s="17"/>
      <c r="E69" s="17"/>
      <c r="F69" s="17"/>
      <c r="G69" s="17"/>
      <c r="H69" s="657" t="s">
        <v>104</v>
      </c>
      <c r="I69" s="674"/>
      <c r="J69" s="674"/>
      <c r="K69" s="658"/>
      <c r="L69" s="115"/>
      <c r="M69" s="62"/>
    </row>
    <row r="70" spans="1:32" ht="24.75" customHeight="1">
      <c r="A70" s="40"/>
      <c r="B70" s="5"/>
      <c r="C70" s="17"/>
      <c r="D70" s="17"/>
      <c r="E70" s="17"/>
      <c r="F70" s="17"/>
      <c r="G70" s="17"/>
      <c r="H70" s="657" t="s">
        <v>105</v>
      </c>
      <c r="I70" s="674"/>
      <c r="J70" s="674"/>
      <c r="K70" s="658"/>
      <c r="L70" s="115"/>
      <c r="M70" s="62"/>
    </row>
    <row r="71" spans="1:32" ht="24.75" customHeight="1">
      <c r="A71" s="40"/>
      <c r="B71" s="5"/>
      <c r="C71" s="17"/>
      <c r="D71" s="17"/>
      <c r="E71" s="17"/>
      <c r="F71" s="17"/>
      <c r="G71" s="17"/>
      <c r="H71" s="106"/>
      <c r="I71" s="107" t="s">
        <v>113</v>
      </c>
      <c r="J71" s="111">
        <v>0</v>
      </c>
      <c r="K71" s="281" t="s">
        <v>51</v>
      </c>
      <c r="L71" s="115"/>
      <c r="M71" s="62"/>
    </row>
    <row r="72" spans="1:32" ht="24.75" customHeight="1">
      <c r="A72" s="40"/>
      <c r="B72" s="5"/>
      <c r="C72" s="17"/>
      <c r="D72" s="17"/>
      <c r="E72" s="17"/>
      <c r="F72" s="17"/>
      <c r="G72" s="23"/>
      <c r="H72" s="66"/>
      <c r="I72" s="66"/>
      <c r="J72" s="66"/>
      <c r="K72" s="66"/>
      <c r="L72" s="115"/>
      <c r="M72" s="62"/>
    </row>
    <row r="73" spans="1:32" ht="24.75" customHeight="1">
      <c r="A73" s="38" t="s">
        <v>106</v>
      </c>
      <c r="B73" s="110">
        <v>5</v>
      </c>
      <c r="C73" s="24" t="s">
        <v>29</v>
      </c>
      <c r="D73" s="24" t="s">
        <v>30</v>
      </c>
      <c r="E73" s="24" t="s">
        <v>31</v>
      </c>
      <c r="F73" s="24" t="s">
        <v>32</v>
      </c>
      <c r="G73" s="24" t="s">
        <v>33</v>
      </c>
      <c r="H73" s="675" t="s">
        <v>108</v>
      </c>
      <c r="I73" s="672"/>
      <c r="J73" s="672"/>
      <c r="K73" s="673"/>
      <c r="L73" s="243">
        <f>'[1]6 เดือน'!$L$73</f>
        <v>1</v>
      </c>
      <c r="M73" s="61">
        <f>IF(L73=0,"-",L73*B73/B$94)</f>
        <v>0.05</v>
      </c>
      <c r="P73" s="263"/>
    </row>
    <row r="74" spans="1:32" ht="24.75" customHeight="1">
      <c r="A74" s="40" t="s">
        <v>107</v>
      </c>
      <c r="B74" s="5"/>
      <c r="C74" s="25">
        <v>1.5</v>
      </c>
      <c r="D74" s="25">
        <v>2</v>
      </c>
      <c r="E74" s="25">
        <v>2.5</v>
      </c>
      <c r="F74" s="25">
        <v>3</v>
      </c>
      <c r="G74" s="25">
        <v>5</v>
      </c>
      <c r="H74" s="657" t="s">
        <v>109</v>
      </c>
      <c r="I74" s="674"/>
      <c r="J74" s="674"/>
      <c r="K74" s="658"/>
      <c r="L74" s="115"/>
      <c r="M74" s="62"/>
    </row>
    <row r="75" spans="1:32" ht="24.75" customHeight="1">
      <c r="A75" s="40"/>
      <c r="B75" s="5"/>
      <c r="C75" s="23"/>
      <c r="D75" s="23"/>
      <c r="E75" s="23"/>
      <c r="F75" s="23"/>
      <c r="G75" s="23"/>
      <c r="H75" s="657" t="s">
        <v>110</v>
      </c>
      <c r="I75" s="674"/>
      <c r="J75" s="674"/>
      <c r="K75" s="658"/>
      <c r="L75" s="115"/>
      <c r="M75" s="62"/>
    </row>
    <row r="76" spans="1:32" ht="24.75" customHeight="1">
      <c r="A76" s="40"/>
      <c r="B76" s="5"/>
      <c r="C76" s="23"/>
      <c r="D76" s="23"/>
      <c r="E76" s="23"/>
      <c r="F76" s="23"/>
      <c r="G76" s="23"/>
      <c r="H76" s="657" t="s">
        <v>111</v>
      </c>
      <c r="I76" s="674"/>
      <c r="J76" s="674"/>
      <c r="K76" s="658"/>
      <c r="L76" s="115"/>
      <c r="M76" s="62"/>
    </row>
    <row r="77" spans="1:32" ht="24.75" customHeight="1">
      <c r="A77" s="40"/>
      <c r="B77" s="5"/>
      <c r="C77" s="23"/>
      <c r="D77" s="23"/>
      <c r="E77" s="23"/>
      <c r="F77" s="23"/>
      <c r="G77" s="23"/>
      <c r="H77" s="279"/>
      <c r="I77" s="51" t="s">
        <v>112</v>
      </c>
      <c r="J77" s="111">
        <v>0</v>
      </c>
      <c r="K77" s="287"/>
      <c r="L77" s="115"/>
      <c r="M77" s="62"/>
      <c r="R77" s="264"/>
    </row>
    <row r="78" spans="1:32" ht="27" customHeight="1">
      <c r="A78" s="50"/>
      <c r="B78" s="14"/>
      <c r="C78" s="20"/>
      <c r="D78" s="20"/>
      <c r="E78" s="20"/>
      <c r="F78" s="20"/>
      <c r="G78" s="20"/>
      <c r="H78" s="96"/>
      <c r="I78" s="284"/>
      <c r="J78" s="284"/>
      <c r="K78" s="285"/>
      <c r="L78" s="116"/>
      <c r="M78" s="63"/>
    </row>
    <row r="79" spans="1:32" ht="24.75" customHeight="1">
      <c r="A79" s="55" t="s">
        <v>132</v>
      </c>
      <c r="B79" s="110">
        <v>5</v>
      </c>
      <c r="C79" s="26">
        <v>1</v>
      </c>
      <c r="D79" s="26">
        <v>2</v>
      </c>
      <c r="E79" s="26">
        <v>3</v>
      </c>
      <c r="F79" s="26">
        <v>4</v>
      </c>
      <c r="G79" s="26">
        <v>5</v>
      </c>
      <c r="H79" s="675" t="s">
        <v>123</v>
      </c>
      <c r="I79" s="672"/>
      <c r="J79" s="672"/>
      <c r="K79" s="673"/>
      <c r="L79" s="114">
        <f>'[1]11 เดือน'!$L$79</f>
        <v>4.5053475935828882</v>
      </c>
      <c r="M79" s="61">
        <f>IF(L79=0,"-",L79*B79/B$94)</f>
        <v>0.22526737967914442</v>
      </c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</row>
    <row r="80" spans="1:32" ht="24.75" customHeight="1">
      <c r="A80" s="56" t="s">
        <v>36</v>
      </c>
      <c r="B80" s="27"/>
      <c r="C80" s="17"/>
      <c r="D80" s="17"/>
      <c r="E80" s="17"/>
      <c r="F80" s="17"/>
      <c r="G80" s="28"/>
      <c r="H80" s="279" t="s">
        <v>124</v>
      </c>
      <c r="I80" s="92"/>
      <c r="J80" s="108"/>
      <c r="K80" s="105"/>
      <c r="L80" s="117"/>
      <c r="M80" s="62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</row>
    <row r="81" spans="1:32" ht="24.75" customHeight="1">
      <c r="A81" s="56"/>
      <c r="B81" s="27"/>
      <c r="C81" s="17"/>
      <c r="D81" s="17"/>
      <c r="E81" s="17"/>
      <c r="F81" s="17"/>
      <c r="G81" s="17"/>
      <c r="H81" s="280" t="s">
        <v>125</v>
      </c>
      <c r="I81" s="92"/>
      <c r="J81" s="108"/>
      <c r="K81" s="105"/>
      <c r="L81" s="117"/>
      <c r="M81" s="62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</row>
    <row r="82" spans="1:32" ht="24.75" customHeight="1">
      <c r="A82" s="56"/>
      <c r="B82" s="27"/>
      <c r="C82" s="17"/>
      <c r="D82" s="17"/>
      <c r="E82" s="17"/>
      <c r="F82" s="17"/>
      <c r="G82" s="17"/>
      <c r="H82" s="279" t="s">
        <v>126</v>
      </c>
      <c r="I82" s="92"/>
      <c r="J82" s="108"/>
      <c r="K82" s="105"/>
      <c r="L82" s="117"/>
      <c r="M82" s="62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</row>
    <row r="83" spans="1:32" ht="24.75" customHeight="1">
      <c r="A83" s="56"/>
      <c r="B83" s="27"/>
      <c r="C83" s="17"/>
      <c r="D83" s="17"/>
      <c r="E83" s="17"/>
      <c r="F83" s="17"/>
      <c r="G83" s="17"/>
      <c r="H83" s="279" t="s">
        <v>127</v>
      </c>
      <c r="I83" s="92"/>
      <c r="J83" s="108"/>
      <c r="K83" s="105"/>
      <c r="L83" s="117"/>
      <c r="M83" s="62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</row>
    <row r="84" spans="1:32" ht="24.75" customHeight="1">
      <c r="A84" s="56"/>
      <c r="B84" s="27"/>
      <c r="C84" s="17"/>
      <c r="D84" s="17"/>
      <c r="E84" s="17"/>
      <c r="F84" s="17"/>
      <c r="G84" s="17"/>
      <c r="H84" s="279"/>
      <c r="I84" s="51" t="s">
        <v>114</v>
      </c>
      <c r="J84" s="226">
        <f>L79</f>
        <v>4.5053475935828882</v>
      </c>
      <c r="K84" s="287"/>
      <c r="L84" s="117"/>
      <c r="M84" s="62"/>
      <c r="O84" s="265"/>
      <c r="P84" s="265"/>
      <c r="Q84" s="265"/>
      <c r="R84" s="265"/>
      <c r="S84" s="265"/>
      <c r="T84" s="265"/>
      <c r="U84" s="265"/>
      <c r="V84" s="266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</row>
    <row r="85" spans="1:32" ht="24.75" customHeight="1">
      <c r="A85" s="60"/>
      <c r="B85" s="29"/>
      <c r="C85" s="20"/>
      <c r="D85" s="20"/>
      <c r="E85" s="20"/>
      <c r="F85" s="20"/>
      <c r="G85" s="20"/>
      <c r="H85" s="97"/>
      <c r="I85" s="284"/>
      <c r="J85" s="284"/>
      <c r="K85" s="285"/>
      <c r="L85" s="118"/>
      <c r="M85" s="63"/>
    </row>
    <row r="86" spans="1:32" ht="24.75" customHeight="1">
      <c r="A86" s="38" t="s">
        <v>115</v>
      </c>
      <c r="B86" s="110">
        <v>5</v>
      </c>
      <c r="C86" s="22">
        <v>0.8</v>
      </c>
      <c r="D86" s="22">
        <v>0.85</v>
      </c>
      <c r="E86" s="22">
        <v>0.9</v>
      </c>
      <c r="F86" s="22">
        <v>0.95</v>
      </c>
      <c r="G86" s="22">
        <v>1</v>
      </c>
      <c r="H86" s="675" t="s">
        <v>117</v>
      </c>
      <c r="I86" s="672"/>
      <c r="J86" s="672"/>
      <c r="K86" s="673"/>
      <c r="L86" s="114">
        <f>'[1]11 เดือน'!$L$86</f>
        <v>4.3</v>
      </c>
      <c r="M86" s="61">
        <f>IF(L86=0,"-",L86*B86/B$94)</f>
        <v>0.215</v>
      </c>
    </row>
    <row r="87" spans="1:32" ht="24.75" customHeight="1">
      <c r="A87" s="40" t="s">
        <v>116</v>
      </c>
      <c r="B87" s="5"/>
      <c r="C87" s="17"/>
      <c r="D87" s="17"/>
      <c r="E87" s="17"/>
      <c r="F87" s="17"/>
      <c r="G87" s="17"/>
      <c r="H87" s="657" t="s">
        <v>118</v>
      </c>
      <c r="I87" s="674"/>
      <c r="J87" s="674"/>
      <c r="K87" s="658"/>
      <c r="L87" s="115"/>
      <c r="M87" s="62"/>
    </row>
    <row r="88" spans="1:32" ht="24.75" customHeight="1">
      <c r="A88" s="40"/>
      <c r="B88" s="5"/>
      <c r="C88" s="17"/>
      <c r="D88" s="17"/>
      <c r="E88" s="17"/>
      <c r="F88" s="17"/>
      <c r="G88" s="17"/>
      <c r="H88" s="657" t="s">
        <v>119</v>
      </c>
      <c r="I88" s="674"/>
      <c r="J88" s="674"/>
      <c r="K88" s="658"/>
      <c r="L88" s="115"/>
      <c r="M88" s="62"/>
    </row>
    <row r="89" spans="1:32" ht="24.75" customHeight="1">
      <c r="A89" s="40"/>
      <c r="B89" s="5"/>
      <c r="C89" s="17"/>
      <c r="D89" s="17"/>
      <c r="E89" s="17"/>
      <c r="F89" s="17"/>
      <c r="G89" s="17"/>
      <c r="H89" s="279" t="s">
        <v>120</v>
      </c>
      <c r="I89" s="280"/>
      <c r="J89" s="280"/>
      <c r="K89" s="281"/>
      <c r="L89" s="115"/>
      <c r="M89" s="62"/>
    </row>
    <row r="90" spans="1:32" ht="24.75" customHeight="1">
      <c r="A90" s="40"/>
      <c r="B90" s="5"/>
      <c r="C90" s="17"/>
      <c r="D90" s="17"/>
      <c r="E90" s="17"/>
      <c r="F90" s="17"/>
      <c r="G90" s="17"/>
      <c r="H90" s="279" t="s">
        <v>121</v>
      </c>
      <c r="I90" s="280"/>
      <c r="J90" s="280"/>
      <c r="K90" s="281"/>
      <c r="L90" s="115"/>
      <c r="M90" s="62"/>
    </row>
    <row r="91" spans="1:32" ht="24.75" customHeight="1">
      <c r="A91" s="40"/>
      <c r="B91" s="5"/>
      <c r="C91" s="17"/>
      <c r="D91" s="17"/>
      <c r="E91" s="17"/>
      <c r="F91" s="17"/>
      <c r="G91" s="17"/>
      <c r="H91" s="106"/>
      <c r="I91" s="107" t="s">
        <v>122</v>
      </c>
      <c r="J91" s="112">
        <f>'[1]11 เดือน'!$J$91</f>
        <v>96.5</v>
      </c>
      <c r="K91" s="281" t="s">
        <v>51</v>
      </c>
      <c r="L91" s="115"/>
      <c r="M91" s="62"/>
    </row>
    <row r="92" spans="1:32" ht="24.75" customHeight="1">
      <c r="A92" s="40"/>
      <c r="B92" s="30"/>
      <c r="C92" s="17"/>
      <c r="D92" s="17"/>
      <c r="E92" s="17"/>
      <c r="F92" s="17"/>
      <c r="G92" s="23"/>
      <c r="H92" s="66"/>
      <c r="I92" s="66"/>
      <c r="J92" s="66"/>
      <c r="K92" s="66"/>
      <c r="L92" s="115"/>
      <c r="M92" s="62"/>
    </row>
    <row r="93" spans="1:32" ht="31.5" customHeight="1">
      <c r="A93" s="687" t="s">
        <v>129</v>
      </c>
      <c r="B93" s="688"/>
      <c r="C93" s="688"/>
      <c r="D93" s="688"/>
      <c r="E93" s="688"/>
      <c r="F93" s="688"/>
      <c r="G93" s="688"/>
      <c r="H93" s="688"/>
      <c r="I93" s="688"/>
      <c r="J93" s="688"/>
      <c r="K93" s="688"/>
      <c r="L93" s="689"/>
      <c r="M93" s="267">
        <f>SUM(M86,M79,M73,M68,M60,M54,M49,M41,M35,M29,M24,M17,M9,M6)</f>
        <v>2.0072889596406092</v>
      </c>
    </row>
    <row r="94" spans="1:32">
      <c r="B94" s="268">
        <f>SUM(B6:B92)</f>
        <v>100</v>
      </c>
    </row>
  </sheetData>
  <mergeCells count="53">
    <mergeCell ref="H86:K86"/>
    <mergeCell ref="H87:K87"/>
    <mergeCell ref="H88:K88"/>
    <mergeCell ref="A93:L93"/>
    <mergeCell ref="H70:K70"/>
    <mergeCell ref="H73:K73"/>
    <mergeCell ref="H74:K74"/>
    <mergeCell ref="H75:K75"/>
    <mergeCell ref="H76:K76"/>
    <mergeCell ref="H79:K79"/>
    <mergeCell ref="H69:K69"/>
    <mergeCell ref="H48:K48"/>
    <mergeCell ref="H49:K49"/>
    <mergeCell ref="H50:K50"/>
    <mergeCell ref="H51:K51"/>
    <mergeCell ref="H53:K53"/>
    <mergeCell ref="H54:K54"/>
    <mergeCell ref="H55:K55"/>
    <mergeCell ref="H60:K60"/>
    <mergeCell ref="H61:K61"/>
    <mergeCell ref="H62:K62"/>
    <mergeCell ref="H68:K68"/>
    <mergeCell ref="H43:K43"/>
    <mergeCell ref="H26:K26"/>
    <mergeCell ref="H29:K29"/>
    <mergeCell ref="H30:K30"/>
    <mergeCell ref="H31:K31"/>
    <mergeCell ref="H32:K32"/>
    <mergeCell ref="H35:K35"/>
    <mergeCell ref="H36:K36"/>
    <mergeCell ref="H37:K37"/>
    <mergeCell ref="H38:K38"/>
    <mergeCell ref="H41:K41"/>
    <mergeCell ref="H42:K42"/>
    <mergeCell ref="H25:K25"/>
    <mergeCell ref="H11:I11"/>
    <mergeCell ref="H13:I13"/>
    <mergeCell ref="H14:I14"/>
    <mergeCell ref="H15:I15"/>
    <mergeCell ref="H17:K17"/>
    <mergeCell ref="H18:K18"/>
    <mergeCell ref="H19:K19"/>
    <mergeCell ref="H20:K20"/>
    <mergeCell ref="H21:K21"/>
    <mergeCell ref="H23:K23"/>
    <mergeCell ref="H24:K24"/>
    <mergeCell ref="H9:I10"/>
    <mergeCell ref="J9:K9"/>
    <mergeCell ref="A1:M1"/>
    <mergeCell ref="A2:M2"/>
    <mergeCell ref="C4:G4"/>
    <mergeCell ref="H4:K5"/>
    <mergeCell ref="L4:L5"/>
  </mergeCells>
  <printOptions horizontalCentered="1"/>
  <pageMargins left="0.2" right="0.1" top="0.55118110236220497" bottom="0.27559055118110198" header="0.196850393700787" footer="0.47244094488188998"/>
  <pageSetup paperSize="9" scale="80" orientation="landscape" r:id="rId1"/>
  <headerFooter scaleWithDoc="0">
    <oddHeader>&amp;R&amp;"TH SarabunIT๙,ธรรมดา"&amp;16&amp;P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H94"/>
  <sheetViews>
    <sheetView view="pageBreakPreview" zoomScaleNormal="90" zoomScaleSheetLayoutView="100" zoomScalePageLayoutView="50" workbookViewId="0">
      <selection activeCell="H74" sqref="H74"/>
    </sheetView>
  </sheetViews>
  <sheetFormatPr defaultColWidth="9.140625" defaultRowHeight="21"/>
  <cols>
    <col min="1" max="1" width="38" style="292" customWidth="1"/>
    <col min="2" max="2" width="11.5703125" style="292" customWidth="1"/>
    <col min="3" max="3" width="9.85546875" style="292" customWidth="1"/>
    <col min="4" max="7" width="9.28515625" style="292" customWidth="1"/>
    <col min="8" max="8" width="9.85546875" style="292" customWidth="1"/>
    <col min="9" max="9" width="22.5703125" style="292" customWidth="1"/>
    <col min="10" max="10" width="16.5703125" style="292" customWidth="1"/>
    <col min="11" max="11" width="27.28515625" style="292" customWidth="1"/>
    <col min="12" max="12" width="11.5703125" style="292" customWidth="1"/>
    <col min="13" max="13" width="11.140625" style="292" customWidth="1"/>
    <col min="14" max="16" width="9.140625" style="292"/>
    <col min="17" max="17" width="12.42578125" style="292" bestFit="1" customWidth="1"/>
    <col min="18" max="20" width="11.5703125" style="292" bestFit="1" customWidth="1"/>
    <col min="21" max="21" width="9.140625" style="292"/>
    <col min="22" max="30" width="11.5703125" style="292" bestFit="1" customWidth="1"/>
    <col min="31" max="31" width="17.7109375" style="292" customWidth="1"/>
    <col min="32" max="32" width="9.28515625" style="292" bestFit="1" customWidth="1"/>
    <col min="33" max="16384" width="9.140625" style="292"/>
  </cols>
  <sheetData>
    <row r="1" spans="1:13" ht="24" customHeight="1">
      <c r="A1" s="728" t="s">
        <v>0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</row>
    <row r="2" spans="1:13" ht="24" customHeight="1">
      <c r="A2" s="728" t="s">
        <v>375</v>
      </c>
      <c r="B2" s="729"/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</row>
    <row r="3" spans="1:13" ht="24" customHeight="1">
      <c r="A3" s="293" t="s">
        <v>373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5" t="s">
        <v>237</v>
      </c>
    </row>
    <row r="4" spans="1:13" s="298" customFormat="1" ht="24" customHeight="1">
      <c r="A4" s="296" t="s">
        <v>1</v>
      </c>
      <c r="B4" s="296" t="s">
        <v>2</v>
      </c>
      <c r="C4" s="730" t="s">
        <v>3</v>
      </c>
      <c r="D4" s="730"/>
      <c r="E4" s="730"/>
      <c r="F4" s="730"/>
      <c r="G4" s="730"/>
      <c r="H4" s="731" t="s">
        <v>4</v>
      </c>
      <c r="I4" s="732"/>
      <c r="J4" s="732"/>
      <c r="K4" s="733"/>
      <c r="L4" s="737" t="s">
        <v>5</v>
      </c>
      <c r="M4" s="297" t="s">
        <v>6</v>
      </c>
    </row>
    <row r="5" spans="1:13" s="298" customFormat="1" ht="24" customHeight="1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34"/>
      <c r="I5" s="735"/>
      <c r="J5" s="735"/>
      <c r="K5" s="736"/>
      <c r="L5" s="737"/>
      <c r="M5" s="301" t="s">
        <v>9</v>
      </c>
    </row>
    <row r="6" spans="1:13" ht="24" customHeight="1">
      <c r="A6" s="448" t="s">
        <v>157</v>
      </c>
      <c r="B6" s="302">
        <v>16.36</v>
      </c>
      <c r="C6" s="449">
        <v>21681</v>
      </c>
      <c r="D6" s="450">
        <v>22189</v>
      </c>
      <c r="E6" s="450">
        <v>22697</v>
      </c>
      <c r="F6" s="450">
        <v>23205</v>
      </c>
      <c r="G6" s="450">
        <v>23714</v>
      </c>
      <c r="H6" s="722" t="s">
        <v>14</v>
      </c>
      <c r="I6" s="723"/>
      <c r="J6" s="724" t="s">
        <v>15</v>
      </c>
      <c r="K6" s="724"/>
      <c r="L6" s="303">
        <v>5</v>
      </c>
      <c r="M6" s="451">
        <f>IF(L6=0,"-",ROUND(L6*B6/B$85,4))</f>
        <v>0.81799999999999995</v>
      </c>
    </row>
    <row r="7" spans="1:13" ht="24" customHeight="1">
      <c r="A7" s="452" t="s">
        <v>158</v>
      </c>
      <c r="B7" s="453"/>
      <c r="C7" s="454" t="s">
        <v>38</v>
      </c>
      <c r="D7" s="454" t="s">
        <v>38</v>
      </c>
      <c r="E7" s="454" t="s">
        <v>39</v>
      </c>
      <c r="F7" s="454" t="s">
        <v>38</v>
      </c>
      <c r="G7" s="454" t="s">
        <v>38</v>
      </c>
      <c r="H7" s="722"/>
      <c r="I7" s="723"/>
      <c r="J7" s="559" t="s">
        <v>17</v>
      </c>
      <c r="K7" s="455" t="s">
        <v>18</v>
      </c>
      <c r="L7" s="456"/>
      <c r="M7" s="457"/>
    </row>
    <row r="8" spans="1:13" ht="24" customHeight="1">
      <c r="A8" s="452"/>
      <c r="B8" s="453"/>
      <c r="C8" s="454"/>
      <c r="D8" s="454"/>
      <c r="E8" s="454"/>
      <c r="F8" s="454"/>
      <c r="G8" s="454"/>
      <c r="H8" s="502" t="s">
        <v>366</v>
      </c>
      <c r="I8" s="503"/>
      <c r="J8" s="579">
        <v>4400</v>
      </c>
      <c r="K8" s="528">
        <v>4400</v>
      </c>
      <c r="L8" s="458"/>
      <c r="M8" s="457"/>
    </row>
    <row r="9" spans="1:13" ht="24" customHeight="1">
      <c r="A9" s="452"/>
      <c r="B9" s="453"/>
      <c r="C9" s="454"/>
      <c r="D9" s="454"/>
      <c r="E9" s="454"/>
      <c r="F9" s="454"/>
      <c r="G9" s="454"/>
      <c r="H9" s="504" t="s">
        <v>372</v>
      </c>
      <c r="I9" s="505"/>
      <c r="J9" s="474"/>
      <c r="K9" s="474"/>
      <c r="L9" s="458"/>
      <c r="M9" s="457"/>
    </row>
    <row r="10" spans="1:13" ht="24" customHeight="1">
      <c r="A10" s="452"/>
      <c r="B10" s="453"/>
      <c r="C10" s="454"/>
      <c r="D10" s="454"/>
      <c r="E10" s="454"/>
      <c r="F10" s="454"/>
      <c r="G10" s="454"/>
      <c r="H10" s="720" t="s">
        <v>367</v>
      </c>
      <c r="I10" s="721"/>
      <c r="J10" s="610">
        <v>16000</v>
      </c>
      <c r="K10" s="609">
        <v>16000</v>
      </c>
      <c r="L10" s="458"/>
      <c r="M10" s="457"/>
    </row>
    <row r="11" spans="1:13" ht="24" customHeight="1">
      <c r="A11" s="452"/>
      <c r="B11" s="459"/>
      <c r="C11" s="460"/>
      <c r="D11" s="460"/>
      <c r="E11" s="460"/>
      <c r="F11" s="460"/>
      <c r="G11" s="460"/>
      <c r="H11" s="552" t="s">
        <v>368</v>
      </c>
      <c r="I11" s="553"/>
      <c r="J11" s="579">
        <v>2000</v>
      </c>
      <c r="K11" s="528">
        <v>2000</v>
      </c>
      <c r="L11" s="456"/>
      <c r="M11" s="457"/>
    </row>
    <row r="12" spans="1:13" ht="24" customHeight="1">
      <c r="A12" s="452"/>
      <c r="B12" s="459"/>
      <c r="C12" s="460"/>
      <c r="D12" s="460"/>
      <c r="E12" s="460"/>
      <c r="F12" s="460"/>
      <c r="G12" s="460"/>
      <c r="H12" s="726" t="s">
        <v>369</v>
      </c>
      <c r="I12" s="727"/>
      <c r="J12" s="463"/>
      <c r="K12" s="464"/>
      <c r="L12" s="456"/>
      <c r="M12" s="457"/>
    </row>
    <row r="13" spans="1:13" ht="24" customHeight="1">
      <c r="A13" s="452"/>
      <c r="B13" s="459"/>
      <c r="C13" s="460"/>
      <c r="D13" s="460"/>
      <c r="E13" s="460"/>
      <c r="F13" s="460"/>
      <c r="G13" s="460"/>
      <c r="H13" s="549" t="s">
        <v>370</v>
      </c>
      <c r="I13" s="551"/>
      <c r="J13" s="461">
        <v>3800</v>
      </c>
      <c r="K13" s="611">
        <v>3800</v>
      </c>
      <c r="L13" s="456"/>
      <c r="M13" s="457"/>
    </row>
    <row r="14" spans="1:13" ht="24" customHeight="1">
      <c r="A14" s="452"/>
      <c r="B14" s="459"/>
      <c r="C14" s="460"/>
      <c r="D14" s="460"/>
      <c r="E14" s="460"/>
      <c r="F14" s="460"/>
      <c r="G14" s="460"/>
      <c r="H14" s="549" t="s">
        <v>371</v>
      </c>
      <c r="I14" s="551"/>
      <c r="J14" s="461"/>
      <c r="K14" s="462"/>
      <c r="L14" s="456"/>
      <c r="M14" s="457"/>
    </row>
    <row r="15" spans="1:13" ht="24" customHeight="1" thickBot="1">
      <c r="A15" s="452"/>
      <c r="B15" s="459"/>
      <c r="C15" s="460"/>
      <c r="D15" s="460"/>
      <c r="E15" s="460"/>
      <c r="F15" s="460"/>
      <c r="G15" s="460"/>
      <c r="H15" s="725" t="s">
        <v>20</v>
      </c>
      <c r="I15" s="725"/>
      <c r="J15" s="465">
        <f>SUM(J8:J14)</f>
        <v>26200</v>
      </c>
      <c r="K15" s="466">
        <f>SUM(K8:K14)</f>
        <v>26200</v>
      </c>
      <c r="L15" s="456"/>
      <c r="M15" s="457"/>
    </row>
    <row r="16" spans="1:13" ht="24" customHeight="1" thickTop="1">
      <c r="A16" s="452"/>
      <c r="B16" s="459"/>
      <c r="C16" s="460"/>
      <c r="D16" s="460"/>
      <c r="E16" s="460"/>
      <c r="F16" s="460"/>
      <c r="G16" s="460"/>
      <c r="H16" s="453"/>
      <c r="I16" s="467"/>
      <c r="J16" s="468"/>
      <c r="K16" s="469"/>
      <c r="L16" s="456"/>
      <c r="M16" s="457"/>
    </row>
    <row r="17" spans="1:31" ht="24" customHeight="1">
      <c r="A17" s="448" t="s">
        <v>159</v>
      </c>
      <c r="B17" s="302">
        <v>5.45</v>
      </c>
      <c r="C17" s="470">
        <v>0.65</v>
      </c>
      <c r="D17" s="470">
        <v>0.7</v>
      </c>
      <c r="E17" s="470">
        <v>0.75</v>
      </c>
      <c r="F17" s="470">
        <v>0.8</v>
      </c>
      <c r="G17" s="470">
        <v>0.85</v>
      </c>
      <c r="H17" s="703" t="s">
        <v>203</v>
      </c>
      <c r="I17" s="704"/>
      <c r="J17" s="704"/>
      <c r="K17" s="705"/>
      <c r="L17" s="303">
        <v>4.8520000000000003</v>
      </c>
      <c r="M17" s="451">
        <f>IF(L17=0,"-",ROUND(L17*B17/B$85,4))</f>
        <v>0.26440000000000002</v>
      </c>
    </row>
    <row r="18" spans="1:31" ht="24" customHeight="1">
      <c r="A18" s="452" t="s">
        <v>144</v>
      </c>
      <c r="B18" s="459"/>
      <c r="C18" s="460"/>
      <c r="D18" s="460"/>
      <c r="E18" s="460"/>
      <c r="F18" s="460"/>
      <c r="G18" s="460"/>
      <c r="H18" s="700" t="s">
        <v>365</v>
      </c>
      <c r="I18" s="701"/>
      <c r="J18" s="701"/>
      <c r="K18" s="702"/>
      <c r="L18" s="456"/>
      <c r="M18" s="457"/>
    </row>
    <row r="19" spans="1:31" ht="24" customHeight="1">
      <c r="A19" s="452"/>
      <c r="B19" s="459"/>
      <c r="C19" s="460"/>
      <c r="D19" s="460"/>
      <c r="E19" s="460"/>
      <c r="F19" s="460"/>
      <c r="G19" s="460"/>
      <c r="H19" s="700" t="s">
        <v>204</v>
      </c>
      <c r="I19" s="701"/>
      <c r="J19" s="701"/>
      <c r="K19" s="702"/>
      <c r="L19" s="456"/>
      <c r="M19" s="457"/>
    </row>
    <row r="20" spans="1:31" ht="24" customHeight="1">
      <c r="A20" s="452"/>
      <c r="B20" s="459"/>
      <c r="C20" s="460"/>
      <c r="D20" s="460"/>
      <c r="E20" s="460"/>
      <c r="F20" s="460"/>
      <c r="G20" s="460"/>
      <c r="H20" s="700" t="s">
        <v>205</v>
      </c>
      <c r="I20" s="701"/>
      <c r="J20" s="701"/>
      <c r="K20" s="702"/>
      <c r="L20" s="456"/>
      <c r="M20" s="457"/>
    </row>
    <row r="21" spans="1:31" ht="24" customHeight="1">
      <c r="A21" s="452"/>
      <c r="B21" s="459"/>
      <c r="C21" s="460"/>
      <c r="D21" s="460"/>
      <c r="E21" s="460"/>
      <c r="F21" s="460"/>
      <c r="G21" s="460"/>
      <c r="I21" s="471" t="s">
        <v>54</v>
      </c>
      <c r="J21" s="472">
        <v>84.26</v>
      </c>
      <c r="K21" s="551" t="s">
        <v>51</v>
      </c>
      <c r="L21" s="456"/>
      <c r="M21" s="457"/>
    </row>
    <row r="22" spans="1:31" ht="24" customHeight="1">
      <c r="A22" s="473"/>
      <c r="B22" s="474"/>
      <c r="C22" s="475"/>
      <c r="D22" s="475"/>
      <c r="E22" s="475"/>
      <c r="F22" s="475"/>
      <c r="G22" s="475"/>
      <c r="H22" s="719"/>
      <c r="I22" s="707"/>
      <c r="J22" s="707"/>
      <c r="K22" s="708"/>
      <c r="L22" s="476"/>
      <c r="M22" s="299"/>
      <c r="AE22" s="292" t="s">
        <v>20</v>
      </c>
    </row>
    <row r="23" spans="1:31" ht="24" customHeight="1">
      <c r="A23" s="448" t="s">
        <v>145</v>
      </c>
      <c r="B23" s="302">
        <v>16.36</v>
      </c>
      <c r="C23" s="470">
        <v>0.69</v>
      </c>
      <c r="D23" s="470">
        <v>0.72</v>
      </c>
      <c r="E23" s="470">
        <v>0.75</v>
      </c>
      <c r="F23" s="470">
        <v>0.78</v>
      </c>
      <c r="G23" s="470">
        <v>0.81</v>
      </c>
      <c r="H23" s="704" t="s">
        <v>206</v>
      </c>
      <c r="I23" s="704"/>
      <c r="J23" s="704"/>
      <c r="K23" s="705"/>
      <c r="L23" s="303">
        <v>5</v>
      </c>
      <c r="M23" s="451">
        <f>IF(L23=0,"-",ROUND(L23*B23/B$85,4))</f>
        <v>0.81799999999999995</v>
      </c>
      <c r="P23" s="292" t="s">
        <v>177</v>
      </c>
      <c r="Q23" s="292">
        <v>88227925</v>
      </c>
      <c r="R23" s="292">
        <v>454314777</v>
      </c>
      <c r="S23" s="292">
        <v>163703662</v>
      </c>
      <c r="T23" s="292">
        <v>340069114</v>
      </c>
      <c r="V23" s="292">
        <v>145609485</v>
      </c>
      <c r="W23" s="292">
        <v>376474997</v>
      </c>
      <c r="X23" s="292">
        <v>154664423</v>
      </c>
      <c r="Y23" s="292">
        <v>364453100</v>
      </c>
      <c r="Z23" s="292">
        <v>301496841</v>
      </c>
      <c r="AA23" s="292">
        <v>117859601</v>
      </c>
      <c r="AB23" s="292">
        <v>103922683</v>
      </c>
      <c r="AC23" s="292">
        <v>110709100</v>
      </c>
      <c r="AD23" s="292">
        <v>396724840</v>
      </c>
      <c r="AE23" s="292">
        <f>Q23+R23+S23+T23+V23+W23+X23+Y23+Z23+AA23+AB23+AC23+AD23</f>
        <v>3118230548</v>
      </c>
    </row>
    <row r="24" spans="1:31" ht="24" customHeight="1">
      <c r="A24" s="452" t="s">
        <v>21</v>
      </c>
      <c r="B24" s="459"/>
      <c r="C24" s="460"/>
      <c r="D24" s="460"/>
      <c r="E24" s="460"/>
      <c r="F24" s="460"/>
      <c r="G24" s="460"/>
      <c r="H24" s="700" t="s">
        <v>207</v>
      </c>
      <c r="I24" s="701"/>
      <c r="J24" s="701"/>
      <c r="K24" s="702"/>
      <c r="L24" s="456"/>
      <c r="M24" s="457"/>
      <c r="P24" s="292" t="s">
        <v>179</v>
      </c>
      <c r="Q24" s="292">
        <v>62767727</v>
      </c>
      <c r="R24" s="292">
        <v>213672936</v>
      </c>
      <c r="S24" s="292">
        <v>25795924</v>
      </c>
      <c r="T24" s="292">
        <v>114556854</v>
      </c>
      <c r="V24" s="292">
        <v>128932639</v>
      </c>
      <c r="W24" s="292">
        <v>336587666</v>
      </c>
      <c r="X24" s="292">
        <v>52373847</v>
      </c>
      <c r="Y24" s="292">
        <v>90762837</v>
      </c>
      <c r="Z24" s="292">
        <v>241819557</v>
      </c>
      <c r="AA24" s="292">
        <v>53872593</v>
      </c>
      <c r="AB24" s="292">
        <v>20156387</v>
      </c>
      <c r="AC24" s="292">
        <v>73919342</v>
      </c>
      <c r="AD24" s="292">
        <v>64957443</v>
      </c>
      <c r="AE24" s="304">
        <f>Q24+R24+S24+T24+V24+W24+X24+Y24+Z24+AA24+AB24+AC24+AD24</f>
        <v>1480175752</v>
      </c>
    </row>
    <row r="25" spans="1:31" ht="24" customHeight="1">
      <c r="A25" s="452"/>
      <c r="B25" s="459"/>
      <c r="C25" s="460"/>
      <c r="D25" s="460"/>
      <c r="E25" s="460"/>
      <c r="F25" s="460"/>
      <c r="G25" s="460"/>
      <c r="H25" s="700" t="s">
        <v>208</v>
      </c>
      <c r="I25" s="701"/>
      <c r="J25" s="701"/>
      <c r="K25" s="702"/>
      <c r="L25" s="456"/>
      <c r="M25" s="457"/>
      <c r="P25" s="292" t="s">
        <v>194</v>
      </c>
      <c r="Q25" s="292">
        <v>19.71</v>
      </c>
      <c r="R25" s="292">
        <v>38.619999999999997</v>
      </c>
      <c r="S25" s="292">
        <v>5.8</v>
      </c>
      <c r="T25" s="292">
        <v>21.95</v>
      </c>
      <c r="AE25" s="315">
        <f>(AE24/AE23)*100</f>
        <v>47.468451393030229</v>
      </c>
    </row>
    <row r="26" spans="1:31" ht="24" customHeight="1">
      <c r="A26" s="452"/>
      <c r="B26" s="459"/>
      <c r="C26" s="460"/>
      <c r="D26" s="460"/>
      <c r="E26" s="460"/>
      <c r="F26" s="460"/>
      <c r="G26" s="460"/>
      <c r="H26" s="557"/>
      <c r="I26" s="471" t="s">
        <v>199</v>
      </c>
      <c r="J26" s="472">
        <v>85.92</v>
      </c>
      <c r="K26" s="551" t="s">
        <v>51</v>
      </c>
      <c r="L26" s="456"/>
      <c r="M26" s="457"/>
      <c r="S26" s="292">
        <v>250782</v>
      </c>
    </row>
    <row r="27" spans="1:31" ht="24" customHeight="1">
      <c r="A27" s="473"/>
      <c r="B27" s="474"/>
      <c r="C27" s="475"/>
      <c r="D27" s="475"/>
      <c r="E27" s="475"/>
      <c r="F27" s="475"/>
      <c r="G27" s="475"/>
      <c r="H27" s="477"/>
      <c r="I27" s="478"/>
      <c r="J27" s="479"/>
      <c r="K27" s="480"/>
      <c r="L27" s="476"/>
      <c r="M27" s="299"/>
      <c r="S27" s="292">
        <v>278676</v>
      </c>
    </row>
    <row r="28" spans="1:31" ht="24" customHeight="1">
      <c r="A28" s="448" t="s">
        <v>146</v>
      </c>
      <c r="B28" s="302">
        <v>5.45</v>
      </c>
      <c r="C28" s="481">
        <v>0.92</v>
      </c>
      <c r="D28" s="481">
        <v>0.94</v>
      </c>
      <c r="E28" s="481">
        <v>0.96</v>
      </c>
      <c r="F28" s="481">
        <v>0.98</v>
      </c>
      <c r="G28" s="481">
        <v>1</v>
      </c>
      <c r="H28" s="703" t="s">
        <v>209</v>
      </c>
      <c r="I28" s="704"/>
      <c r="J28" s="704"/>
      <c r="K28" s="705"/>
      <c r="L28" s="303">
        <v>4.3849999999999998</v>
      </c>
      <c r="M28" s="451">
        <f>IF(L28=0,"-",ROUND(L28*B28/B$85,4))</f>
        <v>0.23899999999999999</v>
      </c>
      <c r="S28" s="292">
        <v>921324</v>
      </c>
    </row>
    <row r="29" spans="1:31" ht="24" customHeight="1">
      <c r="A29" s="452" t="s">
        <v>23</v>
      </c>
      <c r="B29" s="459"/>
      <c r="C29" s="460"/>
      <c r="D29" s="460"/>
      <c r="E29" s="460"/>
      <c r="F29" s="460"/>
      <c r="G29" s="460"/>
      <c r="H29" s="700" t="s">
        <v>210</v>
      </c>
      <c r="I29" s="701"/>
      <c r="J29" s="701"/>
      <c r="K29" s="702"/>
      <c r="L29" s="456"/>
      <c r="M29" s="457"/>
      <c r="S29" s="292">
        <v>59800</v>
      </c>
    </row>
    <row r="30" spans="1:31" ht="24" customHeight="1">
      <c r="A30" s="452" t="s">
        <v>24</v>
      </c>
      <c r="B30" s="459"/>
      <c r="C30" s="460"/>
      <c r="D30" s="460"/>
      <c r="E30" s="460"/>
      <c r="F30" s="460"/>
      <c r="G30" s="460"/>
      <c r="H30" s="700" t="s">
        <v>208</v>
      </c>
      <c r="I30" s="701"/>
      <c r="J30" s="701"/>
      <c r="K30" s="702"/>
      <c r="L30" s="456"/>
      <c r="M30" s="457"/>
      <c r="S30" s="292">
        <v>673916</v>
      </c>
    </row>
    <row r="31" spans="1:31" ht="24" customHeight="1">
      <c r="A31" s="452"/>
      <c r="B31" s="459"/>
      <c r="C31" s="460"/>
      <c r="D31" s="460"/>
      <c r="E31" s="460"/>
      <c r="F31" s="460"/>
      <c r="G31" s="482"/>
      <c r="H31" s="549"/>
      <c r="I31" s="471" t="s">
        <v>56</v>
      </c>
      <c r="J31" s="472">
        <v>98.77</v>
      </c>
      <c r="K31" s="551" t="s">
        <v>51</v>
      </c>
      <c r="L31" s="456"/>
      <c r="M31" s="457"/>
      <c r="R31" s="292">
        <v>1000000</v>
      </c>
      <c r="S31" s="292">
        <v>7256357</v>
      </c>
      <c r="W31" s="292">
        <v>29460503</v>
      </c>
      <c r="X31" s="292">
        <v>45861726</v>
      </c>
      <c r="Z31" s="292">
        <v>109798048</v>
      </c>
      <c r="AD31" s="292">
        <v>2637840</v>
      </c>
    </row>
    <row r="32" spans="1:31" ht="24" customHeight="1">
      <c r="A32" s="452"/>
      <c r="B32" s="459"/>
      <c r="C32" s="460"/>
      <c r="D32" s="460"/>
      <c r="E32" s="460"/>
      <c r="F32" s="460"/>
      <c r="G32" s="460"/>
      <c r="H32" s="483"/>
      <c r="I32" s="484"/>
      <c r="J32" s="484"/>
      <c r="K32" s="485"/>
      <c r="L32" s="456"/>
      <c r="M32" s="457"/>
    </row>
    <row r="33" spans="1:32" ht="24" customHeight="1">
      <c r="A33" s="448" t="s">
        <v>147</v>
      </c>
      <c r="B33" s="302">
        <v>5.45</v>
      </c>
      <c r="C33" s="481">
        <v>0.96</v>
      </c>
      <c r="D33" s="481">
        <v>0.97</v>
      </c>
      <c r="E33" s="481">
        <v>0.98</v>
      </c>
      <c r="F33" s="481">
        <v>0.99</v>
      </c>
      <c r="G33" s="481">
        <v>1</v>
      </c>
      <c r="H33" s="703" t="s">
        <v>211</v>
      </c>
      <c r="I33" s="704"/>
      <c r="J33" s="704"/>
      <c r="K33" s="705"/>
      <c r="L33" s="303">
        <v>4.33</v>
      </c>
      <c r="M33" s="451">
        <f>IF(L33=0,"-",ROUND(L33*B33/B$85,4))</f>
        <v>0.23599999999999999</v>
      </c>
      <c r="Q33" s="292" t="s">
        <v>164</v>
      </c>
      <c r="R33" s="292" t="s">
        <v>165</v>
      </c>
      <c r="S33" s="292" t="s">
        <v>166</v>
      </c>
      <c r="T33" s="292" t="s">
        <v>167</v>
      </c>
      <c r="U33" s="292" t="s">
        <v>168</v>
      </c>
      <c r="V33" s="292" t="s">
        <v>169</v>
      </c>
      <c r="W33" s="292" t="s">
        <v>170</v>
      </c>
      <c r="X33" s="292" t="s">
        <v>171</v>
      </c>
      <c r="Y33" s="292" t="s">
        <v>172</v>
      </c>
      <c r="Z33" s="292" t="s">
        <v>173</v>
      </c>
      <c r="AA33" s="292" t="s">
        <v>174</v>
      </c>
      <c r="AB33" s="292" t="s">
        <v>175</v>
      </c>
      <c r="AC33" s="292" t="s">
        <v>176</v>
      </c>
      <c r="AD33" s="292" t="s">
        <v>178</v>
      </c>
      <c r="AE33" s="292" t="s">
        <v>20</v>
      </c>
    </row>
    <row r="34" spans="1:32" ht="24" customHeight="1">
      <c r="A34" s="452" t="s">
        <v>26</v>
      </c>
      <c r="B34" s="459"/>
      <c r="C34" s="460"/>
      <c r="D34" s="460"/>
      <c r="E34" s="460"/>
      <c r="F34" s="460"/>
      <c r="G34" s="460"/>
      <c r="H34" s="711" t="s">
        <v>212</v>
      </c>
      <c r="I34" s="712"/>
      <c r="J34" s="712"/>
      <c r="K34" s="713"/>
      <c r="L34" s="456"/>
      <c r="M34" s="457"/>
      <c r="P34" s="292" t="s">
        <v>179</v>
      </c>
      <c r="Q34" s="292">
        <v>0</v>
      </c>
      <c r="R34" s="292">
        <f>R36+R37</f>
        <v>57041558</v>
      </c>
      <c r="S34" s="292" t="e">
        <f>S36+S37+S38+S39+S40+S41+#REF!+S42</f>
        <v>#REF!</v>
      </c>
      <c r="T34" s="292">
        <v>10786976</v>
      </c>
      <c r="W34" s="292">
        <f>W36+W37</f>
        <v>28622953</v>
      </c>
      <c r="X34" s="292">
        <f>X36+X37</f>
        <v>12474322.401000001</v>
      </c>
      <c r="Y34" s="292">
        <v>3065219</v>
      </c>
      <c r="Z34" s="292">
        <f>Z36+Z37</f>
        <v>119685161</v>
      </c>
      <c r="AA34" s="292">
        <v>5762411</v>
      </c>
      <c r="AB34" s="292">
        <v>15507983</v>
      </c>
      <c r="AD34" s="292" t="e">
        <f>AD31+#REF!</f>
        <v>#REF!</v>
      </c>
      <c r="AE34" s="292" t="e">
        <f>Q34+R34+S34+T34+W34+X34+Y34+AA34+AB34+AD34</f>
        <v>#REF!</v>
      </c>
      <c r="AF34" s="292" t="e">
        <f>AE34/AE35*100</f>
        <v>#REF!</v>
      </c>
    </row>
    <row r="35" spans="1:32" ht="24" customHeight="1">
      <c r="A35" s="452"/>
      <c r="B35" s="459"/>
      <c r="C35" s="460"/>
      <c r="D35" s="460"/>
      <c r="E35" s="460"/>
      <c r="F35" s="460"/>
      <c r="G35" s="460"/>
      <c r="H35" s="711" t="s">
        <v>214</v>
      </c>
      <c r="I35" s="712"/>
      <c r="J35" s="712"/>
      <c r="K35" s="713"/>
      <c r="L35" s="456"/>
      <c r="M35" s="457"/>
      <c r="P35" s="292" t="s">
        <v>177</v>
      </c>
      <c r="Q35" s="292">
        <v>0</v>
      </c>
      <c r="R35" s="292" t="e">
        <f>R31+#REF!</f>
        <v>#REF!</v>
      </c>
      <c r="S35" s="292" t="e">
        <f>S31+#REF!+S30+S29+S28+S27+S26+#REF!</f>
        <v>#REF!</v>
      </c>
      <c r="T35" s="292">
        <v>10787778</v>
      </c>
      <c r="W35" s="292" t="e">
        <f>W31+#REF!</f>
        <v>#REF!</v>
      </c>
      <c r="X35" s="292" t="e">
        <f>X31+#REF!</f>
        <v>#REF!</v>
      </c>
      <c r="Y35" s="292">
        <v>3065219</v>
      </c>
      <c r="Z35" s="292" t="e">
        <f>Z31+#REF!</f>
        <v>#REF!</v>
      </c>
      <c r="AA35" s="292">
        <v>5836386</v>
      </c>
      <c r="AB35" s="292">
        <v>15507983</v>
      </c>
      <c r="AD35" s="292">
        <v>188974</v>
      </c>
      <c r="AE35" s="292" t="e">
        <f>Q35+R35+S35+T35+W35+X35+Y35+Z35+AA35+AB35+AD35</f>
        <v>#REF!</v>
      </c>
    </row>
    <row r="36" spans="1:32" ht="24" customHeight="1">
      <c r="A36" s="452"/>
      <c r="B36" s="459"/>
      <c r="C36" s="460"/>
      <c r="D36" s="460"/>
      <c r="E36" s="460"/>
      <c r="F36" s="460"/>
      <c r="G36" s="460"/>
      <c r="H36" s="711" t="s">
        <v>213</v>
      </c>
      <c r="I36" s="714"/>
      <c r="J36" s="714"/>
      <c r="K36" s="715"/>
      <c r="L36" s="456"/>
      <c r="M36" s="457"/>
      <c r="R36" s="292">
        <v>2251132</v>
      </c>
      <c r="S36" s="292">
        <v>5889465</v>
      </c>
      <c r="W36" s="292">
        <v>28318909</v>
      </c>
      <c r="X36" s="292">
        <v>32911.400999999998</v>
      </c>
      <c r="Z36" s="292">
        <v>108543778</v>
      </c>
    </row>
    <row r="37" spans="1:32" ht="24" customHeight="1">
      <c r="A37" s="452"/>
      <c r="B37" s="459"/>
      <c r="C37" s="460"/>
      <c r="D37" s="460"/>
      <c r="E37" s="460"/>
      <c r="F37" s="460"/>
      <c r="G37" s="482"/>
      <c r="H37" s="549"/>
      <c r="I37" s="471" t="s">
        <v>56</v>
      </c>
      <c r="J37" s="472">
        <v>99.33</v>
      </c>
      <c r="K37" s="551" t="s">
        <v>51</v>
      </c>
      <c r="L37" s="456"/>
      <c r="M37" s="457"/>
      <c r="R37" s="292">
        <v>54790426</v>
      </c>
      <c r="S37" s="292">
        <v>5094148</v>
      </c>
      <c r="W37" s="292">
        <v>304044</v>
      </c>
      <c r="X37" s="292">
        <v>12441411</v>
      </c>
      <c r="Z37" s="292">
        <v>11141383</v>
      </c>
    </row>
    <row r="38" spans="1:32" ht="24" customHeight="1">
      <c r="A38" s="473"/>
      <c r="B38" s="474"/>
      <c r="C38" s="475"/>
      <c r="D38" s="475"/>
      <c r="E38" s="475"/>
      <c r="F38" s="475"/>
      <c r="G38" s="475"/>
      <c r="H38" s="477"/>
      <c r="I38" s="554"/>
      <c r="J38" s="554"/>
      <c r="K38" s="555"/>
      <c r="L38" s="476"/>
      <c r="M38" s="299"/>
      <c r="S38" s="292">
        <v>673915</v>
      </c>
    </row>
    <row r="39" spans="1:32" ht="24" customHeight="1">
      <c r="A39" s="448" t="s">
        <v>148</v>
      </c>
      <c r="B39" s="302">
        <v>5.45</v>
      </c>
      <c r="C39" s="481">
        <v>0.96</v>
      </c>
      <c r="D39" s="481">
        <v>0.97</v>
      </c>
      <c r="E39" s="481">
        <v>0.98</v>
      </c>
      <c r="F39" s="481">
        <v>0.99</v>
      </c>
      <c r="G39" s="481">
        <v>1</v>
      </c>
      <c r="H39" s="716" t="s">
        <v>215</v>
      </c>
      <c r="I39" s="717"/>
      <c r="J39" s="717"/>
      <c r="K39" s="718"/>
      <c r="L39" s="303">
        <v>5</v>
      </c>
      <c r="M39" s="451">
        <f>IF(L39=0,"-",ROUND(L39*B39/B$85,4))</f>
        <v>0.27250000000000002</v>
      </c>
      <c r="S39" s="292">
        <v>59800</v>
      </c>
    </row>
    <row r="40" spans="1:32" ht="24" customHeight="1">
      <c r="A40" s="452" t="s">
        <v>28</v>
      </c>
      <c r="B40" s="459"/>
      <c r="C40" s="460"/>
      <c r="D40" s="460"/>
      <c r="E40" s="460"/>
      <c r="F40" s="460"/>
      <c r="G40" s="460"/>
      <c r="H40" s="700" t="s">
        <v>216</v>
      </c>
      <c r="I40" s="701"/>
      <c r="J40" s="701"/>
      <c r="K40" s="702"/>
      <c r="L40" s="456"/>
      <c r="M40" s="457"/>
      <c r="S40" s="292">
        <v>921324</v>
      </c>
    </row>
    <row r="41" spans="1:32" ht="24" customHeight="1">
      <c r="A41" s="452" t="s">
        <v>60</v>
      </c>
      <c r="B41" s="459"/>
      <c r="C41" s="460"/>
      <c r="D41" s="460"/>
      <c r="E41" s="460"/>
      <c r="F41" s="460"/>
      <c r="G41" s="460"/>
      <c r="H41" s="700" t="s">
        <v>217</v>
      </c>
      <c r="I41" s="701"/>
      <c r="J41" s="701"/>
      <c r="K41" s="702"/>
      <c r="L41" s="456"/>
      <c r="M41" s="457"/>
      <c r="S41" s="292">
        <v>278675</v>
      </c>
    </row>
    <row r="42" spans="1:32" ht="24" customHeight="1">
      <c r="A42" s="452"/>
      <c r="B42" s="459"/>
      <c r="C42" s="460"/>
      <c r="D42" s="460"/>
      <c r="E42" s="460"/>
      <c r="F42" s="460"/>
      <c r="G42" s="460"/>
      <c r="H42" s="557"/>
      <c r="I42" s="471" t="s">
        <v>66</v>
      </c>
      <c r="J42" s="532">
        <v>85</v>
      </c>
      <c r="K42" s="558" t="s">
        <v>61</v>
      </c>
      <c r="L42" s="456"/>
      <c r="M42" s="457"/>
      <c r="S42" s="292">
        <v>39205</v>
      </c>
    </row>
    <row r="43" spans="1:32" ht="24" customHeight="1">
      <c r="A43" s="452"/>
      <c r="B43" s="459"/>
      <c r="C43" s="460"/>
      <c r="D43" s="460"/>
      <c r="E43" s="460"/>
      <c r="F43" s="460"/>
      <c r="G43" s="460"/>
      <c r="H43" s="557"/>
      <c r="I43" s="471" t="s">
        <v>67</v>
      </c>
      <c r="J43" s="532">
        <v>85</v>
      </c>
      <c r="K43" s="558" t="s">
        <v>61</v>
      </c>
      <c r="L43" s="456"/>
      <c r="M43" s="457"/>
    </row>
    <row r="44" spans="1:32" ht="24" customHeight="1">
      <c r="A44" s="452"/>
      <c r="B44" s="459"/>
      <c r="C44" s="460"/>
      <c r="D44" s="460"/>
      <c r="E44" s="460"/>
      <c r="F44" s="460"/>
      <c r="G44" s="460"/>
      <c r="H44" s="549"/>
      <c r="I44" s="471" t="s">
        <v>81</v>
      </c>
      <c r="J44" s="532">
        <f>ROUND(J43*100/J42,2)</f>
        <v>100</v>
      </c>
      <c r="K44" s="551" t="s">
        <v>51</v>
      </c>
      <c r="L44" s="456"/>
      <c r="M44" s="457"/>
    </row>
    <row r="45" spans="1:32" ht="24" customHeight="1">
      <c r="A45" s="473"/>
      <c r="B45" s="474"/>
      <c r="C45" s="475"/>
      <c r="D45" s="475"/>
      <c r="E45" s="475"/>
      <c r="F45" s="475"/>
      <c r="G45" s="475"/>
      <c r="H45" s="706"/>
      <c r="I45" s="707"/>
      <c r="J45" s="707"/>
      <c r="K45" s="708"/>
      <c r="L45" s="476"/>
      <c r="M45" s="299"/>
    </row>
    <row r="46" spans="1:32" ht="24" customHeight="1">
      <c r="A46" s="448" t="s">
        <v>160</v>
      </c>
      <c r="B46" s="302">
        <v>5.45</v>
      </c>
      <c r="C46" s="481">
        <v>0.5</v>
      </c>
      <c r="D46" s="481">
        <v>0.75</v>
      </c>
      <c r="E46" s="481">
        <v>1</v>
      </c>
      <c r="F46" s="481">
        <v>1</v>
      </c>
      <c r="G46" s="481">
        <v>1</v>
      </c>
      <c r="H46" s="703" t="s">
        <v>218</v>
      </c>
      <c r="I46" s="704"/>
      <c r="J46" s="704"/>
      <c r="K46" s="705"/>
      <c r="L46" s="303">
        <v>5</v>
      </c>
      <c r="M46" s="451">
        <f>IF(L46=0,"-",ROUND(L46*B46/B$85,4))</f>
        <v>0.27250000000000002</v>
      </c>
    </row>
    <row r="47" spans="1:32" ht="24" customHeight="1">
      <c r="A47" s="452" t="s">
        <v>161</v>
      </c>
      <c r="B47" s="453"/>
      <c r="C47" s="487"/>
      <c r="D47" s="487"/>
      <c r="E47" s="487"/>
      <c r="F47" s="487" t="s">
        <v>70</v>
      </c>
      <c r="G47" s="487" t="s">
        <v>70</v>
      </c>
      <c r="H47" s="701" t="s">
        <v>219</v>
      </c>
      <c r="I47" s="701"/>
      <c r="J47" s="701"/>
      <c r="K47" s="702"/>
      <c r="L47" s="456"/>
      <c r="M47" s="457"/>
    </row>
    <row r="48" spans="1:32" ht="24" customHeight="1">
      <c r="A48" s="452"/>
      <c r="B48" s="453"/>
      <c r="C48" s="487"/>
      <c r="D48" s="487"/>
      <c r="E48" s="487"/>
      <c r="F48" s="487" t="s">
        <v>138</v>
      </c>
      <c r="G48" s="487" t="s">
        <v>139</v>
      </c>
      <c r="H48" s="557" t="s">
        <v>200</v>
      </c>
      <c r="I48" s="471" t="s">
        <v>56</v>
      </c>
      <c r="J48" s="532">
        <v>100</v>
      </c>
      <c r="K48" s="551" t="s">
        <v>51</v>
      </c>
      <c r="L48" s="456"/>
      <c r="M48" s="457"/>
    </row>
    <row r="49" spans="1:13" ht="24" customHeight="1">
      <c r="A49" s="473"/>
      <c r="B49" s="474"/>
      <c r="C49" s="475"/>
      <c r="D49" s="475"/>
      <c r="E49" s="475"/>
      <c r="F49" s="475"/>
      <c r="G49" s="475"/>
      <c r="H49" s="706"/>
      <c r="I49" s="709"/>
      <c r="J49" s="709"/>
      <c r="K49" s="710"/>
      <c r="L49" s="476"/>
      <c r="M49" s="299"/>
    </row>
    <row r="50" spans="1:13" ht="24" customHeight="1">
      <c r="A50" s="448" t="s">
        <v>149</v>
      </c>
      <c r="B50" s="302">
        <v>16.36</v>
      </c>
      <c r="C50" s="481">
        <v>0.75</v>
      </c>
      <c r="D50" s="481">
        <v>0.78</v>
      </c>
      <c r="E50" s="481">
        <v>0.81</v>
      </c>
      <c r="F50" s="481">
        <v>0.84</v>
      </c>
      <c r="G50" s="481">
        <v>0.87</v>
      </c>
      <c r="H50" s="703" t="s">
        <v>221</v>
      </c>
      <c r="I50" s="704"/>
      <c r="J50" s="704"/>
      <c r="K50" s="705"/>
      <c r="L50" s="303">
        <v>5</v>
      </c>
      <c r="M50" s="451">
        <f>IF(L50=0,"-",ROUND(L50*B50/B$85,4))</f>
        <v>0.81799999999999995</v>
      </c>
    </row>
    <row r="51" spans="1:13" ht="24" customHeight="1">
      <c r="A51" s="452" t="s">
        <v>137</v>
      </c>
      <c r="B51" s="459"/>
      <c r="C51" s="460"/>
      <c r="D51" s="460"/>
      <c r="E51" s="460"/>
      <c r="F51" s="460"/>
      <c r="G51" s="460"/>
      <c r="H51" s="700" t="s">
        <v>220</v>
      </c>
      <c r="I51" s="701"/>
      <c r="J51" s="701"/>
      <c r="K51" s="702"/>
      <c r="L51" s="456"/>
      <c r="M51" s="457"/>
    </row>
    <row r="52" spans="1:13" ht="24" customHeight="1">
      <c r="A52" s="452"/>
      <c r="B52" s="459"/>
      <c r="C52" s="460"/>
      <c r="D52" s="460"/>
      <c r="E52" s="460"/>
      <c r="F52" s="460"/>
      <c r="G52" s="460"/>
      <c r="H52" s="533"/>
      <c r="I52" s="471" t="s">
        <v>87</v>
      </c>
      <c r="J52" s="534">
        <v>4558671122</v>
      </c>
      <c r="K52" s="551" t="s">
        <v>163</v>
      </c>
      <c r="L52" s="456"/>
      <c r="M52" s="457"/>
    </row>
    <row r="53" spans="1:13" ht="24" customHeight="1">
      <c r="A53" s="452"/>
      <c r="B53" s="459"/>
      <c r="C53" s="460"/>
      <c r="D53" s="460"/>
      <c r="E53" s="460"/>
      <c r="F53" s="460"/>
      <c r="G53" s="460"/>
      <c r="H53" s="533"/>
      <c r="I53" s="471" t="s">
        <v>195</v>
      </c>
      <c r="J53" s="532">
        <v>4120438228</v>
      </c>
      <c r="K53" s="551" t="s">
        <v>163</v>
      </c>
      <c r="L53" s="456"/>
      <c r="M53" s="457"/>
    </row>
    <row r="54" spans="1:13" ht="24" customHeight="1">
      <c r="A54" s="452"/>
      <c r="B54" s="459"/>
      <c r="C54" s="460"/>
      <c r="D54" s="460"/>
      <c r="E54" s="460"/>
      <c r="F54" s="460"/>
      <c r="G54" s="460"/>
      <c r="H54" s="533"/>
      <c r="I54" s="471" t="s">
        <v>196</v>
      </c>
      <c r="J54" s="472">
        <v>90.39</v>
      </c>
      <c r="K54" s="551" t="s">
        <v>51</v>
      </c>
      <c r="L54" s="456"/>
      <c r="M54" s="457"/>
    </row>
    <row r="55" spans="1:13" ht="24" customHeight="1">
      <c r="A55" s="473"/>
      <c r="B55" s="474"/>
      <c r="C55" s="475"/>
      <c r="D55" s="475"/>
      <c r="E55" s="475"/>
      <c r="F55" s="475"/>
      <c r="G55" s="475"/>
      <c r="H55" s="535"/>
      <c r="I55" s="554"/>
      <c r="J55" s="536"/>
      <c r="K55" s="555"/>
      <c r="L55" s="476"/>
      <c r="M55" s="299"/>
    </row>
    <row r="56" spans="1:13" ht="24" customHeight="1">
      <c r="A56" s="448" t="s">
        <v>150</v>
      </c>
      <c r="B56" s="302">
        <v>1.87</v>
      </c>
      <c r="C56" s="481">
        <v>0.6</v>
      </c>
      <c r="D56" s="481">
        <v>0.65</v>
      </c>
      <c r="E56" s="481">
        <v>0.7</v>
      </c>
      <c r="F56" s="481">
        <v>0.75</v>
      </c>
      <c r="G56" s="481">
        <v>0.8</v>
      </c>
      <c r="H56" s="703" t="s">
        <v>222</v>
      </c>
      <c r="I56" s="704"/>
      <c r="J56" s="704"/>
      <c r="K56" s="705"/>
      <c r="L56" s="303">
        <v>5</v>
      </c>
      <c r="M56" s="451">
        <f>IF(L56=0,"-",ROUND(L56*B56/B$85,4))</f>
        <v>9.35E-2</v>
      </c>
    </row>
    <row r="57" spans="1:13" ht="24" customHeight="1">
      <c r="A57" s="452" t="s">
        <v>151</v>
      </c>
      <c r="B57" s="453"/>
      <c r="C57" s="537"/>
      <c r="D57" s="537"/>
      <c r="E57" s="537"/>
      <c r="F57" s="537"/>
      <c r="G57" s="537"/>
      <c r="H57" s="700" t="s">
        <v>223</v>
      </c>
      <c r="I57" s="701"/>
      <c r="J57" s="701"/>
      <c r="K57" s="702"/>
      <c r="L57" s="456"/>
      <c r="M57" s="457"/>
    </row>
    <row r="58" spans="1:13" ht="24" customHeight="1">
      <c r="A58" s="452" t="s">
        <v>91</v>
      </c>
      <c r="B58" s="459"/>
      <c r="C58" s="460"/>
      <c r="D58" s="460"/>
      <c r="E58" s="460"/>
      <c r="F58" s="460"/>
      <c r="G58" s="460"/>
      <c r="H58" s="700" t="s">
        <v>224</v>
      </c>
      <c r="I58" s="701"/>
      <c r="J58" s="701"/>
      <c r="K58" s="702"/>
      <c r="L58" s="456"/>
      <c r="M58" s="457"/>
    </row>
    <row r="59" spans="1:13" ht="24" customHeight="1">
      <c r="A59" s="452"/>
      <c r="B59" s="459"/>
      <c r="C59" s="460"/>
      <c r="D59" s="460"/>
      <c r="E59" s="460"/>
      <c r="F59" s="460"/>
      <c r="G59" s="460"/>
      <c r="H59" s="557"/>
      <c r="I59" s="471" t="s">
        <v>97</v>
      </c>
      <c r="J59" s="532">
        <v>271</v>
      </c>
      <c r="K59" s="558" t="s">
        <v>96</v>
      </c>
      <c r="L59" s="456"/>
      <c r="M59" s="457"/>
    </row>
    <row r="60" spans="1:13" ht="24" customHeight="1">
      <c r="A60" s="452"/>
      <c r="B60" s="459"/>
      <c r="C60" s="460"/>
      <c r="D60" s="460"/>
      <c r="E60" s="460"/>
      <c r="F60" s="460"/>
      <c r="G60" s="460"/>
      <c r="H60" s="557"/>
      <c r="I60" s="471" t="s">
        <v>98</v>
      </c>
      <c r="J60" s="532">
        <v>271</v>
      </c>
      <c r="K60" s="558" t="s">
        <v>96</v>
      </c>
      <c r="L60" s="456"/>
      <c r="M60" s="457"/>
    </row>
    <row r="61" spans="1:13" ht="24" customHeight="1">
      <c r="A61" s="452"/>
      <c r="B61" s="459"/>
      <c r="C61" s="460"/>
      <c r="D61" s="460"/>
      <c r="E61" s="460"/>
      <c r="F61" s="460"/>
      <c r="G61" s="460"/>
      <c r="H61" s="549"/>
      <c r="I61" s="471" t="s">
        <v>35</v>
      </c>
      <c r="J61" s="532">
        <f>ROUND(J60*100/J59,2)</f>
        <v>100</v>
      </c>
      <c r="K61" s="551" t="s">
        <v>51</v>
      </c>
      <c r="L61" s="456"/>
      <c r="M61" s="457"/>
    </row>
    <row r="62" spans="1:13" ht="24" customHeight="1">
      <c r="A62" s="473"/>
      <c r="B62" s="474"/>
      <c r="C62" s="475"/>
      <c r="D62" s="475"/>
      <c r="E62" s="475"/>
      <c r="F62" s="475"/>
      <c r="G62" s="475"/>
      <c r="H62" s="538"/>
      <c r="I62" s="488"/>
      <c r="J62" s="488"/>
      <c r="K62" s="556"/>
      <c r="L62" s="476"/>
      <c r="M62" s="299"/>
    </row>
    <row r="63" spans="1:13" ht="24" customHeight="1">
      <c r="A63" s="489" t="s">
        <v>152</v>
      </c>
      <c r="B63" s="490">
        <v>5.45</v>
      </c>
      <c r="C63" s="491">
        <v>0.65</v>
      </c>
      <c r="D63" s="491">
        <v>0.7</v>
      </c>
      <c r="E63" s="491">
        <v>0.75</v>
      </c>
      <c r="F63" s="491">
        <v>0.8</v>
      </c>
      <c r="G63" s="491">
        <v>0.85</v>
      </c>
      <c r="H63" s="703" t="s">
        <v>225</v>
      </c>
      <c r="I63" s="704"/>
      <c r="J63" s="704"/>
      <c r="K63" s="705"/>
      <c r="L63" s="303">
        <v>4.7939999999999996</v>
      </c>
      <c r="M63" s="451">
        <f>IF(L63=0,"-",ROUND(L63*B63/B$85,4))</f>
        <v>0.26129999999999998</v>
      </c>
    </row>
    <row r="64" spans="1:13" ht="24" customHeight="1">
      <c r="A64" s="452" t="s">
        <v>153</v>
      </c>
      <c r="B64" s="459"/>
      <c r="C64" s="460"/>
      <c r="D64" s="460"/>
      <c r="E64" s="460"/>
      <c r="F64" s="460"/>
      <c r="G64" s="460"/>
      <c r="H64" s="700" t="s">
        <v>226</v>
      </c>
      <c r="I64" s="701"/>
      <c r="J64" s="701"/>
      <c r="K64" s="702"/>
      <c r="L64" s="456"/>
      <c r="M64" s="457"/>
    </row>
    <row r="65" spans="1:34" ht="24" customHeight="1">
      <c r="A65" s="492" t="s">
        <v>162</v>
      </c>
      <c r="B65" s="459"/>
      <c r="C65" s="460"/>
      <c r="D65" s="460"/>
      <c r="E65" s="460"/>
      <c r="F65" s="460"/>
      <c r="G65" s="460"/>
      <c r="H65" s="557" t="s">
        <v>200</v>
      </c>
      <c r="I65" s="493" t="s">
        <v>113</v>
      </c>
      <c r="J65" s="545">
        <v>83.97</v>
      </c>
      <c r="K65" s="551" t="s">
        <v>51</v>
      </c>
      <c r="L65" s="456"/>
      <c r="M65" s="457"/>
    </row>
    <row r="66" spans="1:34" ht="15" customHeight="1">
      <c r="A66" s="452"/>
      <c r="B66" s="459"/>
      <c r="C66" s="460"/>
      <c r="D66" s="460"/>
      <c r="E66" s="460"/>
      <c r="F66" s="460"/>
      <c r="G66" s="494"/>
      <c r="H66" s="495"/>
      <c r="I66" s="495"/>
      <c r="J66" s="495"/>
      <c r="K66" s="495"/>
      <c r="L66" s="456"/>
      <c r="M66" s="457"/>
    </row>
    <row r="67" spans="1:34" ht="24" customHeight="1">
      <c r="A67" s="448" t="s">
        <v>154</v>
      </c>
      <c r="B67" s="490">
        <v>5.45</v>
      </c>
      <c r="C67" s="496" t="s">
        <v>29</v>
      </c>
      <c r="D67" s="496" t="s">
        <v>30</v>
      </c>
      <c r="E67" s="496" t="s">
        <v>31</v>
      </c>
      <c r="F67" s="496" t="s">
        <v>32</v>
      </c>
      <c r="G67" s="496" t="s">
        <v>33</v>
      </c>
      <c r="H67" s="703" t="s">
        <v>227</v>
      </c>
      <c r="I67" s="704"/>
      <c r="J67" s="704"/>
      <c r="K67" s="705"/>
      <c r="L67" s="303">
        <v>1</v>
      </c>
      <c r="M67" s="451">
        <f>IF(L67=0,"-",ROUND(L67*B67/B$85,4))</f>
        <v>5.45E-2</v>
      </c>
    </row>
    <row r="68" spans="1:34" ht="24" customHeight="1">
      <c r="A68" s="452" t="s">
        <v>107</v>
      </c>
      <c r="B68" s="459"/>
      <c r="C68" s="497">
        <v>1.5</v>
      </c>
      <c r="D68" s="497">
        <v>2</v>
      </c>
      <c r="E68" s="497">
        <v>2.5</v>
      </c>
      <c r="F68" s="497">
        <v>3</v>
      </c>
      <c r="G68" s="497">
        <v>5</v>
      </c>
      <c r="H68" s="700" t="s">
        <v>228</v>
      </c>
      <c r="I68" s="701"/>
      <c r="J68" s="701"/>
      <c r="K68" s="702"/>
      <c r="L68" s="456"/>
      <c r="M68" s="457"/>
    </row>
    <row r="69" spans="1:34" ht="24" customHeight="1">
      <c r="A69" s="452"/>
      <c r="B69" s="459"/>
      <c r="C69" s="494"/>
      <c r="D69" s="494"/>
      <c r="E69" s="494"/>
      <c r="F69" s="494"/>
      <c r="G69" s="494"/>
      <c r="H69" s="700" t="s">
        <v>213</v>
      </c>
      <c r="I69" s="701"/>
      <c r="J69" s="701"/>
      <c r="K69" s="702"/>
      <c r="L69" s="456"/>
      <c r="M69" s="457"/>
    </row>
    <row r="70" spans="1:34" ht="24" customHeight="1">
      <c r="A70" s="452"/>
      <c r="B70" s="459"/>
      <c r="C70" s="494"/>
      <c r="D70" s="494"/>
      <c r="E70" s="494"/>
      <c r="F70" s="494"/>
      <c r="G70" s="494"/>
      <c r="H70" s="549"/>
      <c r="I70" s="471" t="s">
        <v>112</v>
      </c>
      <c r="J70" s="472" t="s">
        <v>11</v>
      </c>
      <c r="K70" s="558"/>
      <c r="L70" s="456"/>
      <c r="M70" s="457"/>
    </row>
    <row r="71" spans="1:34" ht="15" customHeight="1">
      <c r="A71" s="473"/>
      <c r="B71" s="474"/>
      <c r="C71" s="475"/>
      <c r="D71" s="475"/>
      <c r="E71" s="475"/>
      <c r="F71" s="475"/>
      <c r="G71" s="475"/>
      <c r="H71" s="477"/>
      <c r="I71" s="554"/>
      <c r="J71" s="554"/>
      <c r="K71" s="555"/>
      <c r="L71" s="476"/>
      <c r="M71" s="299"/>
    </row>
    <row r="72" spans="1:34" ht="24" customHeight="1">
      <c r="A72" s="539" t="s">
        <v>155</v>
      </c>
      <c r="B72" s="490">
        <v>5.45</v>
      </c>
      <c r="C72" s="540">
        <v>10</v>
      </c>
      <c r="D72" s="540">
        <v>30</v>
      </c>
      <c r="E72" s="540">
        <v>50</v>
      </c>
      <c r="F72" s="540">
        <v>70</v>
      </c>
      <c r="G72" s="540">
        <v>100</v>
      </c>
      <c r="H72" s="703" t="s">
        <v>229</v>
      </c>
      <c r="I72" s="704"/>
      <c r="J72" s="704"/>
      <c r="K72" s="705"/>
      <c r="L72" s="303">
        <v>5</v>
      </c>
      <c r="M72" s="451">
        <f>IF(L72=0,"-",ROUND(L72*B72/B$85,4))</f>
        <v>0.27250000000000002</v>
      </c>
      <c r="Q72" s="292" t="s">
        <v>164</v>
      </c>
      <c r="R72" s="292" t="s">
        <v>165</v>
      </c>
      <c r="S72" s="292" t="s">
        <v>166</v>
      </c>
      <c r="T72" s="292" t="s">
        <v>180</v>
      </c>
      <c r="U72" s="292" t="s">
        <v>181</v>
      </c>
      <c r="V72" s="292" t="s">
        <v>182</v>
      </c>
      <c r="W72" s="292" t="s">
        <v>183</v>
      </c>
      <c r="X72" s="292" t="s">
        <v>184</v>
      </c>
      <c r="Y72" s="292" t="s">
        <v>185</v>
      </c>
      <c r="Z72" s="292" t="s">
        <v>186</v>
      </c>
      <c r="AA72" s="292" t="s">
        <v>187</v>
      </c>
      <c r="AB72" s="292" t="s">
        <v>188</v>
      </c>
      <c r="AC72" s="292" t="s">
        <v>189</v>
      </c>
      <c r="AD72" s="292" t="s">
        <v>190</v>
      </c>
      <c r="AE72" s="292" t="s">
        <v>191</v>
      </c>
      <c r="AF72" s="292" t="s">
        <v>192</v>
      </c>
      <c r="AG72" s="292" t="s">
        <v>193</v>
      </c>
      <c r="AH72" s="292" t="s">
        <v>20</v>
      </c>
    </row>
    <row r="73" spans="1:34" ht="24" customHeight="1">
      <c r="A73" s="541" t="s">
        <v>197</v>
      </c>
      <c r="B73" s="542"/>
      <c r="C73" s="460"/>
      <c r="D73" s="460"/>
      <c r="E73" s="460"/>
      <c r="F73" s="460"/>
      <c r="G73" s="482"/>
      <c r="H73" s="612" t="s">
        <v>376</v>
      </c>
      <c r="I73" s="467"/>
      <c r="J73" s="543"/>
      <c r="K73" s="544"/>
      <c r="L73" s="458"/>
      <c r="M73" s="457"/>
      <c r="Q73" s="292">
        <v>78</v>
      </c>
      <c r="R73" s="292">
        <v>78</v>
      </c>
      <c r="S73" s="292">
        <v>79</v>
      </c>
      <c r="T73" s="292">
        <v>78</v>
      </c>
      <c r="U73" s="292">
        <v>78</v>
      </c>
      <c r="V73" s="292">
        <v>77</v>
      </c>
      <c r="W73" s="292">
        <v>77</v>
      </c>
      <c r="X73" s="292">
        <v>91</v>
      </c>
      <c r="Y73" s="292">
        <v>92</v>
      </c>
      <c r="Z73" s="292">
        <v>87</v>
      </c>
      <c r="AA73" s="292">
        <v>93</v>
      </c>
      <c r="AB73" s="292">
        <v>97</v>
      </c>
      <c r="AC73" s="292">
        <v>93</v>
      </c>
      <c r="AD73" s="292">
        <v>99</v>
      </c>
      <c r="AE73" s="292">
        <v>94</v>
      </c>
      <c r="AF73" s="292">
        <v>80</v>
      </c>
      <c r="AG73" s="292">
        <v>78</v>
      </c>
      <c r="AH73" s="315">
        <f>(Q73+R73+S73+T73+U73+V73+W73+X73+Y73+Z73+AA73+AB73+AC73+AD73+AE73+AF73+AG73)/17</f>
        <v>85.235294117647058</v>
      </c>
    </row>
    <row r="74" spans="1:34" ht="24" customHeight="1">
      <c r="A74" s="541"/>
      <c r="B74" s="542"/>
      <c r="C74" s="460"/>
      <c r="D74" s="460"/>
      <c r="E74" s="460"/>
      <c r="F74" s="460"/>
      <c r="G74" s="460"/>
      <c r="H74" s="550" t="s">
        <v>230</v>
      </c>
      <c r="I74" s="467"/>
      <c r="J74" s="543"/>
      <c r="K74" s="544"/>
      <c r="L74" s="458"/>
      <c r="M74" s="457"/>
    </row>
    <row r="75" spans="1:34" ht="24" customHeight="1">
      <c r="A75" s="541"/>
      <c r="B75" s="542"/>
      <c r="C75" s="460"/>
      <c r="D75" s="460"/>
      <c r="E75" s="460"/>
      <c r="F75" s="460"/>
      <c r="G75" s="460"/>
      <c r="H75" s="549" t="s">
        <v>231</v>
      </c>
      <c r="I75" s="467"/>
      <c r="J75" s="543"/>
      <c r="K75" s="544"/>
      <c r="L75" s="458"/>
      <c r="M75" s="457"/>
      <c r="P75" s="305"/>
    </row>
    <row r="76" spans="1:34" ht="24" customHeight="1">
      <c r="A76" s="541"/>
      <c r="B76" s="542"/>
      <c r="C76" s="460"/>
      <c r="D76" s="460"/>
      <c r="E76" s="460"/>
      <c r="F76" s="460"/>
      <c r="G76" s="460"/>
      <c r="H76" s="549"/>
      <c r="I76" s="471" t="s">
        <v>114</v>
      </c>
      <c r="J76" s="532">
        <v>100</v>
      </c>
      <c r="K76" s="562" t="s">
        <v>51</v>
      </c>
      <c r="L76" s="458"/>
      <c r="M76" s="457"/>
    </row>
    <row r="77" spans="1:34" ht="12.75" customHeight="1">
      <c r="A77" s="546"/>
      <c r="B77" s="547"/>
      <c r="C77" s="475"/>
      <c r="D77" s="475"/>
      <c r="E77" s="475"/>
      <c r="F77" s="475"/>
      <c r="G77" s="475"/>
      <c r="H77" s="478"/>
      <c r="I77" s="554"/>
      <c r="J77" s="554"/>
      <c r="K77" s="555"/>
      <c r="L77" s="548"/>
      <c r="M77" s="299"/>
    </row>
    <row r="78" spans="1:34" ht="24" customHeight="1">
      <c r="A78" s="448" t="s">
        <v>156</v>
      </c>
      <c r="B78" s="490">
        <v>5.45</v>
      </c>
      <c r="C78" s="498">
        <v>0.8</v>
      </c>
      <c r="D78" s="498">
        <v>0.85</v>
      </c>
      <c r="E78" s="498">
        <v>0.9</v>
      </c>
      <c r="F78" s="498">
        <v>0.95</v>
      </c>
      <c r="G78" s="498">
        <v>1</v>
      </c>
      <c r="H78" s="703" t="s">
        <v>232</v>
      </c>
      <c r="I78" s="704"/>
      <c r="J78" s="704"/>
      <c r="K78" s="705"/>
      <c r="L78" s="303">
        <v>4.7320000000000002</v>
      </c>
      <c r="M78" s="451">
        <f>IF(L78=0,"-",ROUND(L78*B78/B$85,4))</f>
        <v>0.25790000000000002</v>
      </c>
      <c r="R78" s="306"/>
    </row>
    <row r="79" spans="1:34" ht="24" customHeight="1">
      <c r="A79" s="452" t="s">
        <v>116</v>
      </c>
      <c r="B79" s="459"/>
      <c r="C79" s="497"/>
      <c r="D79" s="497"/>
      <c r="E79" s="497"/>
      <c r="F79" s="497"/>
      <c r="G79" s="497"/>
      <c r="H79" s="700" t="s">
        <v>233</v>
      </c>
      <c r="I79" s="701"/>
      <c r="J79" s="701"/>
      <c r="K79" s="702"/>
      <c r="L79" s="499"/>
      <c r="M79" s="457"/>
    </row>
    <row r="80" spans="1:34" ht="24" customHeight="1">
      <c r="A80" s="452" t="s">
        <v>198</v>
      </c>
      <c r="B80" s="459"/>
      <c r="C80" s="460"/>
      <c r="D80" s="460"/>
      <c r="E80" s="460"/>
      <c r="F80" s="460"/>
      <c r="G80" s="460"/>
      <c r="H80" s="700" t="s">
        <v>234</v>
      </c>
      <c r="I80" s="701"/>
      <c r="J80" s="701"/>
      <c r="K80" s="702"/>
      <c r="L80" s="499"/>
      <c r="M80" s="457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</row>
    <row r="81" spans="1:32" ht="24" customHeight="1">
      <c r="A81" s="452"/>
      <c r="B81" s="459"/>
      <c r="C81" s="460"/>
      <c r="D81" s="460"/>
      <c r="E81" s="460"/>
      <c r="F81" s="460"/>
      <c r="G81" s="460"/>
      <c r="H81" s="549" t="s">
        <v>235</v>
      </c>
      <c r="I81" s="550"/>
      <c r="J81" s="550"/>
      <c r="K81" s="551"/>
      <c r="L81" s="499"/>
      <c r="M81" s="457"/>
      <c r="O81" s="307"/>
      <c r="P81" s="307"/>
      <c r="Q81" s="307"/>
      <c r="R81" s="307"/>
      <c r="S81" s="307"/>
      <c r="T81" s="307"/>
      <c r="U81" s="307"/>
      <c r="V81" s="307"/>
      <c r="W81" s="307"/>
      <c r="X81" s="307"/>
      <c r="Y81" s="307"/>
      <c r="Z81" s="307"/>
      <c r="AA81" s="307"/>
      <c r="AB81" s="307"/>
      <c r="AC81" s="307"/>
      <c r="AD81" s="307"/>
      <c r="AE81" s="307"/>
      <c r="AF81" s="307"/>
    </row>
    <row r="82" spans="1:32" ht="24" customHeight="1">
      <c r="A82" s="452"/>
      <c r="B82" s="459"/>
      <c r="C82" s="460"/>
      <c r="D82" s="460"/>
      <c r="E82" s="460"/>
      <c r="F82" s="460"/>
      <c r="G82" s="460"/>
      <c r="H82" s="549" t="s">
        <v>201</v>
      </c>
      <c r="I82" s="550"/>
      <c r="J82" s="550"/>
      <c r="K82" s="551"/>
      <c r="L82" s="499"/>
      <c r="M82" s="457"/>
      <c r="O82" s="307"/>
      <c r="P82" s="307"/>
      <c r="Q82" s="307"/>
      <c r="R82" s="307"/>
      <c r="S82" s="307"/>
      <c r="T82" s="307"/>
      <c r="U82" s="307"/>
      <c r="V82" s="307"/>
      <c r="W82" s="307"/>
      <c r="X82" s="307"/>
      <c r="Y82" s="307"/>
      <c r="Z82" s="307"/>
      <c r="AA82" s="307"/>
      <c r="AB82" s="307"/>
      <c r="AC82" s="307"/>
      <c r="AD82" s="307"/>
      <c r="AE82" s="307"/>
      <c r="AF82" s="307"/>
    </row>
    <row r="83" spans="1:32" ht="24" customHeight="1">
      <c r="A83" s="452"/>
      <c r="B83" s="459"/>
      <c r="C83" s="460"/>
      <c r="D83" s="460"/>
      <c r="E83" s="460"/>
      <c r="F83" s="460"/>
      <c r="G83" s="460"/>
      <c r="H83" s="549"/>
      <c r="I83" s="550" t="s">
        <v>202</v>
      </c>
      <c r="J83" s="550"/>
      <c r="K83" s="550"/>
      <c r="L83" s="499"/>
      <c r="M83" s="457"/>
      <c r="O83" s="307"/>
      <c r="P83" s="307"/>
      <c r="Q83" s="307"/>
      <c r="R83" s="307"/>
      <c r="S83" s="307"/>
      <c r="T83" s="307"/>
      <c r="U83" s="307"/>
      <c r="V83" s="307"/>
      <c r="W83" s="307"/>
      <c r="X83" s="307"/>
      <c r="Y83" s="307"/>
      <c r="Z83" s="307"/>
      <c r="AA83" s="307"/>
      <c r="AB83" s="307"/>
      <c r="AC83" s="307"/>
      <c r="AD83" s="307"/>
      <c r="AE83" s="307"/>
      <c r="AF83" s="307"/>
    </row>
    <row r="84" spans="1:32" ht="12" customHeight="1">
      <c r="A84" s="452"/>
      <c r="B84" s="500"/>
      <c r="C84" s="460"/>
      <c r="D84" s="460"/>
      <c r="E84" s="460"/>
      <c r="F84" s="460"/>
      <c r="G84" s="494"/>
      <c r="H84" s="549" t="s">
        <v>200</v>
      </c>
      <c r="I84" s="495"/>
      <c r="J84" s="495"/>
      <c r="K84" s="495"/>
      <c r="L84" s="499"/>
      <c r="M84" s="457"/>
      <c r="O84" s="307"/>
      <c r="P84" s="307"/>
      <c r="Q84" s="307"/>
      <c r="R84" s="307"/>
      <c r="S84" s="307"/>
      <c r="T84" s="307"/>
      <c r="U84" s="307"/>
      <c r="V84" s="307"/>
      <c r="W84" s="307"/>
      <c r="X84" s="307"/>
      <c r="Y84" s="307"/>
      <c r="Z84" s="307"/>
      <c r="AA84" s="307"/>
      <c r="AB84" s="307"/>
      <c r="AC84" s="307"/>
      <c r="AD84" s="307"/>
      <c r="AE84" s="307"/>
      <c r="AF84" s="307"/>
    </row>
    <row r="85" spans="1:32" ht="24" customHeight="1">
      <c r="A85" s="309"/>
      <c r="B85" s="310">
        <f>SUM(B6:B84)</f>
        <v>100.00000000000003</v>
      </c>
      <c r="C85" s="311"/>
      <c r="D85" s="311"/>
      <c r="E85" s="311"/>
      <c r="F85" s="311"/>
      <c r="G85" s="312"/>
      <c r="H85" s="311"/>
      <c r="I85" s="311"/>
      <c r="J85" s="311"/>
      <c r="K85" s="311"/>
      <c r="L85" s="313" t="s">
        <v>140</v>
      </c>
      <c r="M85" s="316">
        <f>M78+M72+M67+M63+M56+M50+M46+M39+M33+M28+M23+M17+M6</f>
        <v>4.6780999999999997</v>
      </c>
      <c r="O85" s="307"/>
      <c r="P85" s="307"/>
      <c r="Q85" s="307"/>
      <c r="R85" s="307"/>
      <c r="S85" s="307"/>
      <c r="T85" s="307"/>
      <c r="U85" s="307"/>
      <c r="V85" s="307"/>
      <c r="W85" s="307"/>
      <c r="X85" s="307"/>
      <c r="Y85" s="307"/>
      <c r="Z85" s="307"/>
      <c r="AA85" s="307"/>
      <c r="AB85" s="307"/>
      <c r="AC85" s="307"/>
      <c r="AD85" s="307"/>
      <c r="AE85" s="307"/>
      <c r="AF85" s="307"/>
    </row>
    <row r="86" spans="1:32" ht="24" customHeight="1">
      <c r="O86" s="307"/>
      <c r="P86" s="307"/>
      <c r="Q86" s="307"/>
      <c r="R86" s="307"/>
      <c r="S86" s="307"/>
      <c r="T86" s="307"/>
      <c r="U86" s="307"/>
      <c r="V86" s="308"/>
      <c r="W86" s="307"/>
      <c r="X86" s="307"/>
      <c r="Y86" s="307"/>
      <c r="Z86" s="307"/>
      <c r="AA86" s="307"/>
      <c r="AB86" s="307"/>
      <c r="AC86" s="307"/>
      <c r="AD86" s="307"/>
      <c r="AE86" s="307"/>
      <c r="AF86" s="307"/>
    </row>
    <row r="87" spans="1:32" ht="24" customHeight="1">
      <c r="A87" s="314"/>
    </row>
    <row r="88" spans="1:32" ht="24" customHeight="1"/>
    <row r="89" spans="1:32" ht="24" customHeight="1"/>
    <row r="90" spans="1:32" ht="24" customHeight="1"/>
    <row r="91" spans="1:32" ht="24" customHeight="1"/>
    <row r="92" spans="1:32" ht="24" customHeight="1"/>
    <row r="93" spans="1:32" ht="24" customHeight="1"/>
    <row r="94" spans="1:32" ht="24" customHeight="1"/>
  </sheetData>
  <mergeCells count="46">
    <mergeCell ref="A1:M1"/>
    <mergeCell ref="A2:M2"/>
    <mergeCell ref="C4:G4"/>
    <mergeCell ref="H4:K5"/>
    <mergeCell ref="L4:L5"/>
    <mergeCell ref="H22:K22"/>
    <mergeCell ref="H23:K23"/>
    <mergeCell ref="H10:I10"/>
    <mergeCell ref="H6:I7"/>
    <mergeCell ref="J6:K6"/>
    <mergeCell ref="H15:I15"/>
    <mergeCell ref="H17:K17"/>
    <mergeCell ref="H18:K18"/>
    <mergeCell ref="H19:K19"/>
    <mergeCell ref="H20:K20"/>
    <mergeCell ref="H12:I12"/>
    <mergeCell ref="H63:K63"/>
    <mergeCell ref="H50:K50"/>
    <mergeCell ref="H51:K51"/>
    <mergeCell ref="H41:K41"/>
    <mergeCell ref="H25:K25"/>
    <mergeCell ref="H28:K28"/>
    <mergeCell ref="H29:K29"/>
    <mergeCell ref="H30:K30"/>
    <mergeCell ref="H33:K33"/>
    <mergeCell ref="H34:K34"/>
    <mergeCell ref="H35:K35"/>
    <mergeCell ref="H36:K36"/>
    <mergeCell ref="H39:K39"/>
    <mergeCell ref="H40:K40"/>
    <mergeCell ref="H24:K24"/>
    <mergeCell ref="H78:K78"/>
    <mergeCell ref="H79:K79"/>
    <mergeCell ref="H80:K80"/>
    <mergeCell ref="H67:K67"/>
    <mergeCell ref="H68:K68"/>
    <mergeCell ref="H69:K69"/>
    <mergeCell ref="H72:K72"/>
    <mergeCell ref="H64:K64"/>
    <mergeCell ref="H45:K45"/>
    <mergeCell ref="H46:K46"/>
    <mergeCell ref="H47:K47"/>
    <mergeCell ref="H49:K49"/>
    <mergeCell ref="H56:K56"/>
    <mergeCell ref="H57:K57"/>
    <mergeCell ref="H58:K58"/>
  </mergeCells>
  <printOptions horizontalCentered="1"/>
  <pageMargins left="0.196850393700787" right="0.196850393700787" top="0.55118110236220497" bottom="0.27559055118110198" header="0.196850393700787" footer="0.47244094488188998"/>
  <pageSetup paperSize="9" scale="75" orientation="landscape" r:id="rId1"/>
  <headerFooter scaleWithDoc="0">
    <oddHeader>&amp;R&amp;"TH SarabunPSK,Regular"&amp;16&amp;P/&amp;N</oddHeader>
  </headerFooter>
  <rowBreaks count="2" manualBreakCount="2">
    <brk id="27" max="12" man="1"/>
    <brk id="55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AN75"/>
  <sheetViews>
    <sheetView tabSelected="1" view="pageBreakPreview" topLeftCell="A16" zoomScaleNormal="90" zoomScaleSheetLayoutView="100" zoomScalePageLayoutView="50" workbookViewId="0">
      <selection activeCell="A61" sqref="A61:A63"/>
    </sheetView>
  </sheetViews>
  <sheetFormatPr defaultColWidth="9.140625" defaultRowHeight="21"/>
  <cols>
    <col min="1" max="1" width="38" style="292" customWidth="1"/>
    <col min="2" max="2" width="11.5703125" style="292" customWidth="1"/>
    <col min="3" max="3" width="9.85546875" style="292" customWidth="1"/>
    <col min="4" max="7" width="9.140625" style="292" customWidth="1"/>
    <col min="8" max="8" width="9.85546875" style="292" customWidth="1"/>
    <col min="9" max="9" width="16.140625" style="292" customWidth="1"/>
    <col min="10" max="10" width="16.5703125" style="292" customWidth="1"/>
    <col min="11" max="11" width="33.85546875" style="292" customWidth="1"/>
    <col min="12" max="12" width="11.140625" style="429" customWidth="1"/>
    <col min="13" max="13" width="11.140625" style="292" customWidth="1"/>
    <col min="14" max="16" width="9.140625" style="292"/>
    <col min="17" max="17" width="12.42578125" style="292" bestFit="1" customWidth="1"/>
    <col min="18" max="20" width="11.5703125" style="292" bestFit="1" customWidth="1"/>
    <col min="21" max="21" width="9.140625" style="292"/>
    <col min="22" max="30" width="11.5703125" style="292" bestFit="1" customWidth="1"/>
    <col min="31" max="31" width="17.85546875" style="292" customWidth="1"/>
    <col min="32" max="32" width="9.140625" style="292" bestFit="1" customWidth="1"/>
    <col min="33" max="33" width="11.140625" style="292" bestFit="1" customWidth="1"/>
    <col min="34" max="35" width="9.140625" style="292"/>
    <col min="36" max="36" width="86.140625" style="292" bestFit="1" customWidth="1"/>
    <col min="37" max="37" width="19.140625" style="292" bestFit="1" customWidth="1"/>
    <col min="38" max="38" width="15" style="292" bestFit="1" customWidth="1"/>
    <col min="39" max="39" width="10.42578125" style="292" bestFit="1" customWidth="1"/>
    <col min="40" max="16384" width="9.140625" style="292"/>
  </cols>
  <sheetData>
    <row r="1" spans="1:40" ht="24" customHeight="1">
      <c r="A1" s="728" t="s">
        <v>0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</row>
    <row r="2" spans="1:40" ht="24" customHeight="1">
      <c r="A2" s="728" t="s">
        <v>236</v>
      </c>
      <c r="B2" s="729"/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</row>
    <row r="3" spans="1:40" ht="24" customHeight="1">
      <c r="A3" s="293" t="s">
        <v>373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427"/>
      <c r="M3" s="295" t="s">
        <v>237</v>
      </c>
    </row>
    <row r="4" spans="1:40" s="298" customFormat="1" ht="24" customHeight="1">
      <c r="A4" s="296" t="s">
        <v>1</v>
      </c>
      <c r="B4" s="296" t="s">
        <v>2</v>
      </c>
      <c r="C4" s="730" t="s">
        <v>3</v>
      </c>
      <c r="D4" s="730"/>
      <c r="E4" s="730"/>
      <c r="F4" s="730"/>
      <c r="G4" s="730"/>
      <c r="H4" s="731" t="s">
        <v>4</v>
      </c>
      <c r="I4" s="732"/>
      <c r="J4" s="732"/>
      <c r="K4" s="733"/>
      <c r="L4" s="743" t="s">
        <v>5</v>
      </c>
      <c r="M4" s="297" t="s">
        <v>6</v>
      </c>
    </row>
    <row r="5" spans="1:40" s="298" customFormat="1" ht="24" customHeight="1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34"/>
      <c r="I5" s="735"/>
      <c r="J5" s="735"/>
      <c r="K5" s="736"/>
      <c r="L5" s="743"/>
      <c r="M5" s="301" t="s">
        <v>9</v>
      </c>
    </row>
    <row r="6" spans="1:40" ht="24" customHeight="1">
      <c r="A6" s="448" t="s">
        <v>159</v>
      </c>
      <c r="B6" s="302">
        <v>5.45</v>
      </c>
      <c r="C6" s="470">
        <v>0.65</v>
      </c>
      <c r="D6" s="470">
        <v>0.7</v>
      </c>
      <c r="E6" s="470">
        <v>0.75</v>
      </c>
      <c r="F6" s="470">
        <v>0.8</v>
      </c>
      <c r="G6" s="470">
        <v>0.85</v>
      </c>
      <c r="H6" s="703" t="s">
        <v>203</v>
      </c>
      <c r="I6" s="704"/>
      <c r="J6" s="704"/>
      <c r="K6" s="705"/>
      <c r="L6" s="303">
        <v>4.8520000000000003</v>
      </c>
      <c r="M6" s="451">
        <f>IF(L6=0,"-",ROUND(L6*B6/B$66,4))</f>
        <v>0.39300000000000002</v>
      </c>
    </row>
    <row r="7" spans="1:40" ht="24" customHeight="1">
      <c r="A7" s="452" t="s">
        <v>144</v>
      </c>
      <c r="B7" s="459"/>
      <c r="C7" s="460"/>
      <c r="D7" s="460"/>
      <c r="E7" s="460"/>
      <c r="F7" s="460"/>
      <c r="G7" s="460"/>
      <c r="H7" s="700" t="s">
        <v>365</v>
      </c>
      <c r="I7" s="701"/>
      <c r="J7" s="701"/>
      <c r="K7" s="702"/>
      <c r="L7" s="456"/>
      <c r="M7" s="457"/>
      <c r="N7" s="298" t="s">
        <v>238</v>
      </c>
      <c r="O7" s="317" t="s">
        <v>164</v>
      </c>
      <c r="P7" s="298" t="s">
        <v>165</v>
      </c>
      <c r="Q7" s="298" t="s">
        <v>166</v>
      </c>
      <c r="R7" s="317" t="s">
        <v>167</v>
      </c>
      <c r="S7" s="317" t="s">
        <v>168</v>
      </c>
      <c r="T7" s="317" t="s">
        <v>169</v>
      </c>
      <c r="U7" s="317" t="s">
        <v>170</v>
      </c>
      <c r="V7" s="317" t="s">
        <v>171</v>
      </c>
      <c r="W7" s="298" t="s">
        <v>172</v>
      </c>
      <c r="X7" s="317" t="s">
        <v>173</v>
      </c>
      <c r="Y7" s="317" t="s">
        <v>174</v>
      </c>
      <c r="Z7" s="298" t="s">
        <v>175</v>
      </c>
      <c r="AA7" s="317" t="s">
        <v>176</v>
      </c>
      <c r="AB7" s="317" t="s">
        <v>178</v>
      </c>
      <c r="AC7" s="298" t="s">
        <v>192</v>
      </c>
      <c r="AD7" s="298" t="s">
        <v>239</v>
      </c>
      <c r="AE7" s="298" t="s">
        <v>240</v>
      </c>
    </row>
    <row r="8" spans="1:40" ht="24" customHeight="1">
      <c r="A8" s="452"/>
      <c r="B8" s="459"/>
      <c r="C8" s="460"/>
      <c r="D8" s="460"/>
      <c r="E8" s="460"/>
      <c r="F8" s="460"/>
      <c r="G8" s="460"/>
      <c r="H8" s="700" t="s">
        <v>204</v>
      </c>
      <c r="I8" s="701"/>
      <c r="J8" s="701"/>
      <c r="K8" s="702"/>
      <c r="L8" s="456"/>
      <c r="M8" s="457"/>
      <c r="AI8" s="318" t="s">
        <v>241</v>
      </c>
      <c r="AJ8" s="319" t="s">
        <v>14</v>
      </c>
      <c r="AK8" s="320" t="s">
        <v>242</v>
      </c>
      <c r="AL8" s="321" t="s">
        <v>243</v>
      </c>
      <c r="AM8" s="322"/>
      <c r="AN8" s="322" t="s">
        <v>244</v>
      </c>
    </row>
    <row r="9" spans="1:40" ht="24" customHeight="1">
      <c r="A9" s="452"/>
      <c r="B9" s="459"/>
      <c r="C9" s="460"/>
      <c r="D9" s="460"/>
      <c r="E9" s="460"/>
      <c r="F9" s="460"/>
      <c r="G9" s="460"/>
      <c r="H9" s="700" t="s">
        <v>205</v>
      </c>
      <c r="I9" s="701"/>
      <c r="J9" s="701"/>
      <c r="K9" s="702"/>
      <c r="L9" s="456"/>
      <c r="M9" s="457"/>
      <c r="N9" s="323">
        <f>SUM(O9:AB9)</f>
        <v>2754.9592476500002</v>
      </c>
      <c r="O9" s="324">
        <v>63.05</v>
      </c>
      <c r="P9" s="324">
        <v>363.36509999999998</v>
      </c>
      <c r="Q9" s="324">
        <v>157.61449099999999</v>
      </c>
      <c r="R9" s="324">
        <v>122.296868</v>
      </c>
      <c r="S9" s="324"/>
      <c r="T9" s="324">
        <v>687.09411299999999</v>
      </c>
      <c r="U9" s="325">
        <v>432.493359</v>
      </c>
      <c r="V9" s="324"/>
      <c r="W9" s="324">
        <v>567.82270000000005</v>
      </c>
      <c r="X9" s="324">
        <v>128.228759</v>
      </c>
      <c r="Y9" s="324">
        <v>39.988</v>
      </c>
      <c r="AA9" s="326">
        <v>103.4341</v>
      </c>
      <c r="AB9" s="324">
        <v>89.571757649999995</v>
      </c>
      <c r="AC9" s="292">
        <f>SUM(O9:AB9)</f>
        <v>2754.9592476500002</v>
      </c>
      <c r="AE9" s="292">
        <f>AC9</f>
        <v>2754.9592476500002</v>
      </c>
      <c r="AI9" s="327">
        <v>1</v>
      </c>
      <c r="AJ9" s="328" t="s">
        <v>245</v>
      </c>
      <c r="AK9" s="329">
        <v>172677500</v>
      </c>
      <c r="AL9" s="330">
        <v>13.36</v>
      </c>
      <c r="AM9" s="331" t="e">
        <f t="shared" ref="AM9:AM26" si="0">AL9*AK9/$C$13</f>
        <v>#DIV/0!</v>
      </c>
      <c r="AN9" s="331">
        <f>AL9*AK9/AK9</f>
        <v>13.36</v>
      </c>
    </row>
    <row r="10" spans="1:40" ht="24" customHeight="1">
      <c r="A10" s="452"/>
      <c r="B10" s="459"/>
      <c r="C10" s="460"/>
      <c r="D10" s="460"/>
      <c r="E10" s="460"/>
      <c r="F10" s="460"/>
      <c r="G10" s="460"/>
      <c r="I10" s="471" t="s">
        <v>54</v>
      </c>
      <c r="J10" s="472">
        <v>84.26</v>
      </c>
      <c r="K10" s="551" t="s">
        <v>51</v>
      </c>
      <c r="L10" s="456"/>
      <c r="M10" s="457"/>
      <c r="N10" s="292">
        <f>(O10*O9+P10*P9+Q10*Q9+R10*R9+S10*S9+T10*T9+U10*U9+V10*V9+W10*W9+X10*X9+Y10*Y9+Z10*Z9+AA10*AA9+AB10*AB9)/N9</f>
        <v>84.754654906071266</v>
      </c>
      <c r="O10" s="324">
        <v>100</v>
      </c>
      <c r="P10" s="324">
        <v>63.46</v>
      </c>
      <c r="Q10" s="324">
        <v>51.39</v>
      </c>
      <c r="R10" s="324">
        <v>100</v>
      </c>
      <c r="S10" s="324"/>
      <c r="T10" s="324">
        <v>100</v>
      </c>
      <c r="U10" s="324">
        <v>98.85</v>
      </c>
      <c r="V10" s="324"/>
      <c r="W10" s="332">
        <v>77.599999999999994</v>
      </c>
      <c r="X10" s="324">
        <v>66.87</v>
      </c>
      <c r="Y10" s="324">
        <v>100</v>
      </c>
      <c r="AA10" s="324">
        <v>71.75</v>
      </c>
      <c r="AB10" s="324">
        <v>92.47</v>
      </c>
      <c r="AC10" s="333">
        <f>J10</f>
        <v>84.26</v>
      </c>
      <c r="AE10" s="333">
        <f>J10</f>
        <v>84.26</v>
      </c>
      <c r="AI10" s="327">
        <v>2</v>
      </c>
      <c r="AJ10" s="328" t="s">
        <v>246</v>
      </c>
      <c r="AK10" s="329">
        <v>525283600</v>
      </c>
      <c r="AL10" s="330">
        <v>35.229999999999997</v>
      </c>
      <c r="AM10" s="331" t="e">
        <f t="shared" si="0"/>
        <v>#DIV/0!</v>
      </c>
      <c r="AN10" s="331">
        <f t="shared" ref="AN10:AN23" si="1">(AL10*AK10/AK10)</f>
        <v>35.229999999999997</v>
      </c>
    </row>
    <row r="11" spans="1:40" ht="24" customHeight="1">
      <c r="A11" s="473"/>
      <c r="B11" s="474"/>
      <c r="C11" s="475"/>
      <c r="D11" s="475"/>
      <c r="E11" s="475"/>
      <c r="F11" s="475"/>
      <c r="G11" s="475"/>
      <c r="H11" s="719"/>
      <c r="I11" s="707"/>
      <c r="J11" s="707"/>
      <c r="K11" s="708"/>
      <c r="L11" s="476"/>
      <c r="M11" s="299"/>
      <c r="AE11" s="292" t="s">
        <v>20</v>
      </c>
      <c r="AI11" s="327"/>
      <c r="AJ11" s="328" t="s">
        <v>247</v>
      </c>
      <c r="AK11" s="329">
        <v>63771100</v>
      </c>
      <c r="AL11" s="330">
        <v>0.28000000000000003</v>
      </c>
      <c r="AM11" s="331" t="e">
        <f t="shared" si="0"/>
        <v>#DIV/0!</v>
      </c>
      <c r="AN11" s="331"/>
    </row>
    <row r="12" spans="1:40" ht="24" customHeight="1">
      <c r="A12" s="448" t="s">
        <v>145</v>
      </c>
      <c r="B12" s="302">
        <v>16.36</v>
      </c>
      <c r="C12" s="470">
        <v>0.69</v>
      </c>
      <c r="D12" s="470">
        <v>0.72</v>
      </c>
      <c r="E12" s="470">
        <v>0.75</v>
      </c>
      <c r="F12" s="470">
        <v>0.78</v>
      </c>
      <c r="G12" s="470">
        <v>0.81</v>
      </c>
      <c r="H12" s="704" t="s">
        <v>206</v>
      </c>
      <c r="I12" s="704"/>
      <c r="J12" s="704"/>
      <c r="K12" s="705"/>
      <c r="L12" s="303">
        <v>5</v>
      </c>
      <c r="M12" s="451">
        <f>IF(L12=0,"-",ROUND(L12*B12/B$66,4))</f>
        <v>1.2158</v>
      </c>
      <c r="P12" s="292" t="s">
        <v>177</v>
      </c>
      <c r="Q12" s="292">
        <v>88227925</v>
      </c>
      <c r="R12" s="292">
        <v>454314777</v>
      </c>
      <c r="S12" s="292">
        <v>163703662</v>
      </c>
      <c r="T12" s="292">
        <v>340069114</v>
      </c>
      <c r="V12" s="292">
        <v>145609485</v>
      </c>
      <c r="W12" s="292">
        <v>376474997</v>
      </c>
      <c r="X12" s="292">
        <v>154664423</v>
      </c>
      <c r="Y12" s="292">
        <v>364453100</v>
      </c>
      <c r="Z12" s="292">
        <v>301496841</v>
      </c>
      <c r="AA12" s="292">
        <v>117859601</v>
      </c>
      <c r="AB12" s="292">
        <v>103922683</v>
      </c>
      <c r="AC12" s="292">
        <v>110709100</v>
      </c>
      <c r="AD12" s="292">
        <v>396724840</v>
      </c>
      <c r="AE12" s="292">
        <f>Q12+R12+S12+T12+V12+W12+X12+Y12+Z12+AA12+AB12+AC12+AD12</f>
        <v>3118230548</v>
      </c>
      <c r="AI12" s="327"/>
      <c r="AJ12" s="328" t="s">
        <v>248</v>
      </c>
      <c r="AK12" s="329">
        <v>85121200</v>
      </c>
      <c r="AL12" s="330">
        <v>2.0499999999999998</v>
      </c>
      <c r="AM12" s="331" t="e">
        <f t="shared" si="0"/>
        <v>#DIV/0!</v>
      </c>
      <c r="AN12" s="331"/>
    </row>
    <row r="13" spans="1:40" ht="24" customHeight="1">
      <c r="A13" s="452" t="s">
        <v>21</v>
      </c>
      <c r="B13" s="459"/>
      <c r="C13" s="460"/>
      <c r="D13" s="460"/>
      <c r="E13" s="460"/>
      <c r="F13" s="460"/>
      <c r="G13" s="460"/>
      <c r="H13" s="700" t="s">
        <v>207</v>
      </c>
      <c r="I13" s="701"/>
      <c r="J13" s="701"/>
      <c r="K13" s="702"/>
      <c r="L13" s="456"/>
      <c r="M13" s="457"/>
      <c r="P13" s="292" t="s">
        <v>179</v>
      </c>
      <c r="Q13" s="292">
        <v>62767727</v>
      </c>
      <c r="R13" s="292">
        <v>213672936</v>
      </c>
      <c r="S13" s="292">
        <v>25795924</v>
      </c>
      <c r="T13" s="292">
        <v>114556854</v>
      </c>
      <c r="V13" s="292">
        <v>128932639</v>
      </c>
      <c r="W13" s="292">
        <v>336587666</v>
      </c>
      <c r="X13" s="292">
        <v>52373847</v>
      </c>
      <c r="Y13" s="292">
        <v>90762837</v>
      </c>
      <c r="Z13" s="292">
        <v>241819557</v>
      </c>
      <c r="AA13" s="292">
        <v>53872593</v>
      </c>
      <c r="AB13" s="292">
        <v>20156387</v>
      </c>
      <c r="AC13" s="292">
        <v>73919342</v>
      </c>
      <c r="AD13" s="292">
        <v>64957443</v>
      </c>
      <c r="AE13" s="304">
        <f>Q13+R13+S13+T13+V13+W13+X13+Y13+Z13+AA13+AB13+AC13+AD13</f>
        <v>1480175752</v>
      </c>
      <c r="AI13" s="327"/>
      <c r="AJ13" s="328" t="s">
        <v>249</v>
      </c>
      <c r="AK13" s="329">
        <v>115875000</v>
      </c>
      <c r="AL13" s="330">
        <v>0</v>
      </c>
      <c r="AM13" s="331" t="e">
        <f t="shared" si="0"/>
        <v>#DIV/0!</v>
      </c>
      <c r="AN13" s="331"/>
    </row>
    <row r="14" spans="1:40" ht="24" customHeight="1">
      <c r="A14" s="452"/>
      <c r="B14" s="459"/>
      <c r="C14" s="460"/>
      <c r="D14" s="460"/>
      <c r="E14" s="460"/>
      <c r="F14" s="460"/>
      <c r="G14" s="460"/>
      <c r="H14" s="700" t="s">
        <v>208</v>
      </c>
      <c r="I14" s="701"/>
      <c r="J14" s="701"/>
      <c r="K14" s="702"/>
      <c r="L14" s="456"/>
      <c r="M14" s="457"/>
      <c r="P14" s="292" t="s">
        <v>194</v>
      </c>
      <c r="Q14" s="292">
        <v>19.71</v>
      </c>
      <c r="R14" s="292">
        <v>38.619999999999997</v>
      </c>
      <c r="S14" s="292">
        <v>5.8</v>
      </c>
      <c r="T14" s="292">
        <v>21.95</v>
      </c>
      <c r="AE14" s="315">
        <f>(AE13/AE12)*100</f>
        <v>47.468451393030229</v>
      </c>
      <c r="AI14" s="327">
        <v>4</v>
      </c>
      <c r="AJ14" s="328" t="s">
        <v>250</v>
      </c>
      <c r="AK14" s="329">
        <v>1039701600</v>
      </c>
      <c r="AL14" s="330">
        <v>5.62</v>
      </c>
      <c r="AM14" s="331" t="e">
        <f t="shared" si="0"/>
        <v>#DIV/0!</v>
      </c>
      <c r="AN14" s="331">
        <f t="shared" si="1"/>
        <v>5.62</v>
      </c>
    </row>
    <row r="15" spans="1:40" ht="24" customHeight="1">
      <c r="A15" s="452"/>
      <c r="B15" s="459"/>
      <c r="C15" s="460"/>
      <c r="D15" s="460"/>
      <c r="E15" s="460"/>
      <c r="F15" s="460"/>
      <c r="G15" s="460"/>
      <c r="H15" s="557"/>
      <c r="I15" s="471" t="s">
        <v>199</v>
      </c>
      <c r="J15" s="472">
        <v>85.92</v>
      </c>
      <c r="K15" s="551" t="s">
        <v>51</v>
      </c>
      <c r="L15" s="456"/>
      <c r="M15" s="457"/>
      <c r="Q15" s="292">
        <f>(Q12*Q14)/AE12</f>
        <v>0.55767922704283635</v>
      </c>
      <c r="R15" s="292">
        <f>(R12*R14)/AE12</f>
        <v>5.6267926369310901</v>
      </c>
      <c r="S15" s="292">
        <f>(S12*S14)/AE12</f>
        <v>0.3044935982071586</v>
      </c>
      <c r="T15" s="292">
        <f>(T12*T14)/AE12</f>
        <v>2.3938310325026038</v>
      </c>
      <c r="V15" s="292">
        <f>(V12*V14)/AE12</f>
        <v>0</v>
      </c>
      <c r="W15" s="292">
        <f>(W12*W14)/AE12</f>
        <v>0</v>
      </c>
      <c r="X15" s="292">
        <f>(X12*X14)/AE12</f>
        <v>0</v>
      </c>
      <c r="Y15" s="292">
        <f>(Y12*Y14)/AE12</f>
        <v>0</v>
      </c>
      <c r="Z15" s="292">
        <f>(Z12*Z14)/AE12</f>
        <v>0</v>
      </c>
      <c r="AA15" s="292">
        <f>(AA12*AA14)/AE12</f>
        <v>0</v>
      </c>
      <c r="AB15" s="292">
        <f>(AB12*AB14)/AE12</f>
        <v>0</v>
      </c>
      <c r="AC15" s="292">
        <f>(AC12*AC14)/AE12</f>
        <v>0</v>
      </c>
      <c r="AD15" s="292">
        <f>(AD12*AD14)/AE12</f>
        <v>0</v>
      </c>
      <c r="AE15" s="292">
        <f>(Q15+R15+S15+T15+V15+W15+X15+Y15+Z15+AA15+AB15+AC15+AD15)/AE12</f>
        <v>2.8486657281903096E-9</v>
      </c>
      <c r="AI15" s="327">
        <v>5</v>
      </c>
      <c r="AJ15" s="328" t="s">
        <v>251</v>
      </c>
      <c r="AK15" s="329">
        <v>636679600</v>
      </c>
      <c r="AL15" s="330">
        <v>13.07</v>
      </c>
      <c r="AM15" s="331" t="e">
        <f t="shared" si="0"/>
        <v>#DIV/0!</v>
      </c>
      <c r="AN15" s="331">
        <f t="shared" si="1"/>
        <v>13.07</v>
      </c>
    </row>
    <row r="16" spans="1:40" ht="24" customHeight="1">
      <c r="A16" s="473"/>
      <c r="B16" s="474"/>
      <c r="C16" s="475"/>
      <c r="D16" s="475"/>
      <c r="E16" s="475"/>
      <c r="F16" s="475"/>
      <c r="G16" s="475"/>
      <c r="H16" s="477"/>
      <c r="I16" s="478"/>
      <c r="J16" s="479"/>
      <c r="K16" s="480"/>
      <c r="L16" s="476"/>
      <c r="M16" s="299"/>
      <c r="S16" s="292">
        <v>278676</v>
      </c>
      <c r="AI16" s="327">
        <v>8</v>
      </c>
      <c r="AJ16" s="328" t="s">
        <v>252</v>
      </c>
      <c r="AK16" s="329">
        <v>168866326</v>
      </c>
      <c r="AL16" s="330">
        <v>25.53</v>
      </c>
      <c r="AM16" s="331" t="e">
        <f t="shared" si="0"/>
        <v>#DIV/0!</v>
      </c>
      <c r="AN16" s="331">
        <f t="shared" si="1"/>
        <v>25.529999999999998</v>
      </c>
    </row>
    <row r="17" spans="1:40" ht="24" customHeight="1">
      <c r="A17" s="448" t="s">
        <v>146</v>
      </c>
      <c r="B17" s="302">
        <v>5.45</v>
      </c>
      <c r="C17" s="481">
        <v>0.92</v>
      </c>
      <c r="D17" s="481">
        <v>0.94</v>
      </c>
      <c r="E17" s="481">
        <v>0.96</v>
      </c>
      <c r="F17" s="481">
        <v>0.98</v>
      </c>
      <c r="G17" s="481">
        <v>1</v>
      </c>
      <c r="H17" s="703" t="s">
        <v>209</v>
      </c>
      <c r="I17" s="704"/>
      <c r="J17" s="704"/>
      <c r="K17" s="705"/>
      <c r="L17" s="303">
        <v>4.3849999999999998</v>
      </c>
      <c r="M17" s="451">
        <f>IF(L17=0,"-",ROUND(L17*B17/B$66,4))</f>
        <v>0.35520000000000002</v>
      </c>
      <c r="S17" s="292">
        <v>6516821</v>
      </c>
      <c r="AI17" s="327">
        <v>9</v>
      </c>
      <c r="AJ17" s="328" t="s">
        <v>253</v>
      </c>
      <c r="AK17" s="329">
        <v>189999700</v>
      </c>
      <c r="AL17" s="330">
        <v>3.53</v>
      </c>
      <c r="AM17" s="331" t="e">
        <f t="shared" si="0"/>
        <v>#DIV/0!</v>
      </c>
      <c r="AN17" s="331">
        <f>(AL17*AK17/(AK17+AK18+AK19))+(AL18*AK18/(AK17+AK18+AK19))+(AL19*AK19/(AK17+AK18+AK19))</f>
        <v>17.929695702793666</v>
      </c>
    </row>
    <row r="18" spans="1:40" ht="24" customHeight="1">
      <c r="A18" s="452" t="s">
        <v>23</v>
      </c>
      <c r="B18" s="459"/>
      <c r="C18" s="460"/>
      <c r="D18" s="460"/>
      <c r="E18" s="460"/>
      <c r="F18" s="460"/>
      <c r="G18" s="460"/>
      <c r="H18" s="700" t="s">
        <v>210</v>
      </c>
      <c r="I18" s="701"/>
      <c r="J18" s="701"/>
      <c r="K18" s="702"/>
      <c r="L18" s="456"/>
      <c r="M18" s="457"/>
      <c r="S18" s="292">
        <v>59800</v>
      </c>
      <c r="AI18" s="327"/>
      <c r="AJ18" s="328" t="s">
        <v>254</v>
      </c>
      <c r="AK18" s="329">
        <v>93741300</v>
      </c>
      <c r="AL18" s="330">
        <v>63.29</v>
      </c>
      <c r="AM18" s="331" t="e">
        <f t="shared" si="0"/>
        <v>#DIV/0!</v>
      </c>
      <c r="AN18" s="331"/>
    </row>
    <row r="19" spans="1:40" ht="24" customHeight="1">
      <c r="A19" s="452" t="s">
        <v>24</v>
      </c>
      <c r="B19" s="459"/>
      <c r="C19" s="460"/>
      <c r="D19" s="460"/>
      <c r="E19" s="460"/>
      <c r="F19" s="460"/>
      <c r="G19" s="460"/>
      <c r="H19" s="700" t="s">
        <v>208</v>
      </c>
      <c r="I19" s="701"/>
      <c r="J19" s="701"/>
      <c r="K19" s="702"/>
      <c r="L19" s="456"/>
      <c r="M19" s="457"/>
      <c r="S19" s="292">
        <v>709266</v>
      </c>
      <c r="AI19" s="327"/>
      <c r="AJ19" s="328" t="s">
        <v>255</v>
      </c>
      <c r="AK19" s="329">
        <v>84563400</v>
      </c>
      <c r="AL19" s="330">
        <v>0</v>
      </c>
      <c r="AM19" s="331" t="e">
        <f t="shared" si="0"/>
        <v>#DIV/0!</v>
      </c>
      <c r="AN19" s="331"/>
    </row>
    <row r="20" spans="1:40" ht="24" customHeight="1">
      <c r="A20" s="452"/>
      <c r="B20" s="459"/>
      <c r="C20" s="460"/>
      <c r="D20" s="460"/>
      <c r="E20" s="460"/>
      <c r="F20" s="460"/>
      <c r="G20" s="460"/>
      <c r="H20" s="549"/>
      <c r="I20" s="471" t="s">
        <v>56</v>
      </c>
      <c r="J20" s="472">
        <v>98.77</v>
      </c>
      <c r="K20" s="551" t="s">
        <v>51</v>
      </c>
      <c r="L20" s="456"/>
      <c r="M20" s="457"/>
      <c r="S20" s="292">
        <v>10951834</v>
      </c>
      <c r="W20" s="292">
        <v>304044</v>
      </c>
      <c r="X20" s="292">
        <v>12443540</v>
      </c>
      <c r="Z20" s="292">
        <v>12690293</v>
      </c>
      <c r="AD20" s="292">
        <v>16191016</v>
      </c>
      <c r="AI20" s="327">
        <v>10</v>
      </c>
      <c r="AJ20" s="328" t="s">
        <v>256</v>
      </c>
      <c r="AK20" s="329">
        <v>305794900</v>
      </c>
      <c r="AL20" s="330">
        <v>18.23</v>
      </c>
      <c r="AM20" s="331" t="e">
        <f t="shared" si="0"/>
        <v>#DIV/0!</v>
      </c>
      <c r="AN20" s="331">
        <f>(AL20*AK20/AK20)</f>
        <v>18.23</v>
      </c>
    </row>
    <row r="21" spans="1:40" ht="24" customHeight="1">
      <c r="A21" s="452"/>
      <c r="B21" s="459"/>
      <c r="C21" s="460"/>
      <c r="D21" s="460"/>
      <c r="E21" s="460"/>
      <c r="F21" s="460"/>
      <c r="G21" s="460"/>
      <c r="H21" s="483"/>
      <c r="I21" s="484"/>
      <c r="J21" s="484"/>
      <c r="K21" s="485"/>
      <c r="L21" s="456"/>
      <c r="M21" s="457"/>
      <c r="AI21" s="327"/>
      <c r="AJ21" s="328" t="s">
        <v>257</v>
      </c>
      <c r="AK21" s="329">
        <v>391412000</v>
      </c>
      <c r="AL21" s="330">
        <v>0</v>
      </c>
      <c r="AM21" s="331" t="e">
        <f t="shared" si="0"/>
        <v>#DIV/0!</v>
      </c>
      <c r="AN21" s="331"/>
    </row>
    <row r="22" spans="1:40" ht="24" customHeight="1">
      <c r="A22" s="448" t="s">
        <v>147</v>
      </c>
      <c r="B22" s="302">
        <v>5.45</v>
      </c>
      <c r="C22" s="481">
        <v>0.96</v>
      </c>
      <c r="D22" s="481">
        <v>0.97</v>
      </c>
      <c r="E22" s="481">
        <v>0.98</v>
      </c>
      <c r="F22" s="481">
        <v>0.99</v>
      </c>
      <c r="G22" s="481">
        <v>1</v>
      </c>
      <c r="H22" s="703" t="s">
        <v>211</v>
      </c>
      <c r="I22" s="704"/>
      <c r="J22" s="704"/>
      <c r="K22" s="705"/>
      <c r="L22" s="303">
        <v>4.33</v>
      </c>
      <c r="M22" s="451">
        <f>IF(L22=0,"-",ROUND(L22*B22/B$66,4))</f>
        <v>0.3508</v>
      </c>
      <c r="Q22" s="292" t="s">
        <v>164</v>
      </c>
      <c r="R22" s="292" t="s">
        <v>165</v>
      </c>
      <c r="S22" s="292" t="s">
        <v>166</v>
      </c>
      <c r="T22" s="292" t="s">
        <v>167</v>
      </c>
      <c r="U22" s="292" t="s">
        <v>168</v>
      </c>
      <c r="V22" s="292" t="s">
        <v>169</v>
      </c>
      <c r="W22" s="292" t="s">
        <v>170</v>
      </c>
      <c r="X22" s="292" t="s">
        <v>171</v>
      </c>
      <c r="Y22" s="292" t="s">
        <v>172</v>
      </c>
      <c r="Z22" s="292" t="s">
        <v>173</v>
      </c>
      <c r="AA22" s="292" t="s">
        <v>174</v>
      </c>
      <c r="AB22" s="292" t="s">
        <v>175</v>
      </c>
      <c r="AC22" s="292" t="s">
        <v>176</v>
      </c>
      <c r="AD22" s="292" t="s">
        <v>178</v>
      </c>
      <c r="AE22" s="292" t="s">
        <v>20</v>
      </c>
      <c r="AI22" s="327"/>
      <c r="AJ22" s="328" t="s">
        <v>258</v>
      </c>
      <c r="AK22" s="329">
        <v>72151000</v>
      </c>
      <c r="AL22" s="330">
        <v>20.47</v>
      </c>
      <c r="AM22" s="331" t="e">
        <f t="shared" si="0"/>
        <v>#DIV/0!</v>
      </c>
      <c r="AN22" s="331"/>
    </row>
    <row r="23" spans="1:40" ht="24" customHeight="1">
      <c r="A23" s="452" t="s">
        <v>26</v>
      </c>
      <c r="B23" s="459"/>
      <c r="C23" s="460"/>
      <c r="D23" s="460"/>
      <c r="E23" s="460"/>
      <c r="F23" s="460"/>
      <c r="G23" s="460"/>
      <c r="H23" s="711" t="s">
        <v>212</v>
      </c>
      <c r="I23" s="712"/>
      <c r="J23" s="712"/>
      <c r="K23" s="713"/>
      <c r="L23" s="456"/>
      <c r="M23" s="457"/>
      <c r="P23" s="292" t="s">
        <v>179</v>
      </c>
      <c r="Q23" s="292">
        <v>0</v>
      </c>
      <c r="R23" s="292">
        <f>R25+R26</f>
        <v>790426</v>
      </c>
      <c r="S23" s="292">
        <f>S25+S26+S27+S28+S29+S30+S31+S32</f>
        <v>14574205</v>
      </c>
      <c r="T23" s="292">
        <v>15621046</v>
      </c>
      <c r="W23" s="292">
        <f>W25+W26</f>
        <v>28622953</v>
      </c>
      <c r="X23" s="292">
        <f>X25+X26</f>
        <v>58302658</v>
      </c>
      <c r="Y23" s="292">
        <v>3065219</v>
      </c>
      <c r="Z23" s="292">
        <f>Z25+Z26</f>
        <v>128168347</v>
      </c>
      <c r="AA23" s="292">
        <v>5762411</v>
      </c>
      <c r="AB23" s="292">
        <v>15507983</v>
      </c>
      <c r="AD23" s="292">
        <f>AD25+AD26</f>
        <v>24150329</v>
      </c>
      <c r="AE23" s="292">
        <f>Q23+R23+S23+T23+W23+X23+Y23+AA23+AB23+AD23</f>
        <v>166397230</v>
      </c>
      <c r="AF23" s="292" t="e">
        <f>AE23/AE24*100</f>
        <v>#REF!</v>
      </c>
      <c r="AG23" s="292">
        <f>R23+T23+W23+X23+Y23+Z23+AA23+AB23+AD23</f>
        <v>279991372</v>
      </c>
      <c r="AH23" s="292" t="e">
        <f>AG23/AG24*100</f>
        <v>#REF!</v>
      </c>
      <c r="AI23" s="327">
        <v>12</v>
      </c>
      <c r="AJ23" s="328" t="s">
        <v>259</v>
      </c>
      <c r="AK23" s="329">
        <v>232129108</v>
      </c>
      <c r="AL23" s="330">
        <v>8.2200000000000006</v>
      </c>
      <c r="AM23" s="331" t="e">
        <f t="shared" si="0"/>
        <v>#DIV/0!</v>
      </c>
      <c r="AN23" s="331">
        <f t="shared" si="1"/>
        <v>8.2200000000000006</v>
      </c>
    </row>
    <row r="24" spans="1:40" ht="24" customHeight="1">
      <c r="A24" s="452"/>
      <c r="B24" s="459"/>
      <c r="C24" s="460"/>
      <c r="D24" s="460"/>
      <c r="E24" s="460"/>
      <c r="F24" s="460"/>
      <c r="G24" s="460"/>
      <c r="H24" s="711" t="s">
        <v>214</v>
      </c>
      <c r="I24" s="712"/>
      <c r="J24" s="712"/>
      <c r="K24" s="713"/>
      <c r="L24" s="456"/>
      <c r="M24" s="457"/>
      <c r="P24" s="292" t="s">
        <v>177</v>
      </c>
      <c r="Q24" s="292">
        <v>0</v>
      </c>
      <c r="R24" s="292" t="e">
        <f>#REF!+R20</f>
        <v>#REF!</v>
      </c>
      <c r="S24" s="292" t="e">
        <f>#REF!+S20+S19+S18+S17+S16+#REF!+#REF!</f>
        <v>#REF!</v>
      </c>
      <c r="T24" s="292">
        <v>31415454</v>
      </c>
      <c r="W24" s="292" t="e">
        <f>#REF!+W20</f>
        <v>#REF!</v>
      </c>
      <c r="X24" s="292" t="e">
        <f>#REF!+X20</f>
        <v>#REF!</v>
      </c>
      <c r="Y24" s="292">
        <v>3065219</v>
      </c>
      <c r="Z24" s="292" t="e">
        <f>#REF!+Z20</f>
        <v>#REF!</v>
      </c>
      <c r="AA24" s="292">
        <v>5836386</v>
      </c>
      <c r="AB24" s="292">
        <v>15507983</v>
      </c>
      <c r="AD24" s="292" t="e">
        <f>#REF!+AD20</f>
        <v>#REF!</v>
      </c>
      <c r="AE24" s="292" t="e">
        <f>Q24+R24+S24+T24+W24+X24+Y24+Z24+AA24+AB24+AD24</f>
        <v>#REF!</v>
      </c>
      <c r="AG24" s="292" t="e">
        <f>R24+T24+W24+X24+Y24+Z24+AA24+AB24</f>
        <v>#REF!</v>
      </c>
      <c r="AI24" s="327">
        <v>13</v>
      </c>
      <c r="AJ24" s="328" t="s">
        <v>260</v>
      </c>
      <c r="AK24" s="329">
        <v>75897000</v>
      </c>
      <c r="AL24" s="330">
        <v>11.23</v>
      </c>
      <c r="AM24" s="331" t="e">
        <f t="shared" si="0"/>
        <v>#DIV/0!</v>
      </c>
      <c r="AN24" s="331">
        <f>(AL24*AK24/(AK24+AK25+AK26))+(AL25*AK25/(AK24+AK25+AK26))+(AL26*AK26/(AK24+AK25+AK26))</f>
        <v>31.347292142666063</v>
      </c>
    </row>
    <row r="25" spans="1:40" ht="24" customHeight="1">
      <c r="A25" s="452"/>
      <c r="B25" s="459"/>
      <c r="C25" s="460"/>
      <c r="D25" s="460"/>
      <c r="E25" s="460"/>
      <c r="F25" s="460"/>
      <c r="G25" s="460"/>
      <c r="H25" s="711" t="s">
        <v>213</v>
      </c>
      <c r="I25" s="714"/>
      <c r="J25" s="714"/>
      <c r="K25" s="715"/>
      <c r="L25" s="456"/>
      <c r="M25" s="457"/>
      <c r="R25" s="292">
        <v>790426</v>
      </c>
      <c r="S25" s="292">
        <v>5889465</v>
      </c>
      <c r="W25" s="292">
        <v>28318909</v>
      </c>
      <c r="X25" s="292">
        <v>45861247</v>
      </c>
      <c r="Z25" s="292">
        <v>117026964</v>
      </c>
      <c r="AD25" s="292">
        <v>7959313</v>
      </c>
      <c r="AI25" s="327"/>
      <c r="AJ25" s="328" t="s">
        <v>261</v>
      </c>
      <c r="AK25" s="329">
        <v>28808000</v>
      </c>
      <c r="AL25" s="330">
        <v>79.489999999999995</v>
      </c>
      <c r="AM25" s="331" t="e">
        <f t="shared" si="0"/>
        <v>#DIV/0!</v>
      </c>
      <c r="AN25" s="331"/>
    </row>
    <row r="26" spans="1:40" ht="24" customHeight="1">
      <c r="A26" s="452"/>
      <c r="B26" s="459"/>
      <c r="C26" s="460"/>
      <c r="D26" s="460"/>
      <c r="E26" s="460"/>
      <c r="F26" s="460"/>
      <c r="G26" s="482"/>
      <c r="H26" s="549"/>
      <c r="I26" s="471" t="s">
        <v>56</v>
      </c>
      <c r="J26" s="472">
        <v>99.33</v>
      </c>
      <c r="K26" s="551" t="s">
        <v>51</v>
      </c>
      <c r="L26" s="456"/>
      <c r="M26" s="457"/>
      <c r="S26" s="292">
        <v>6461040</v>
      </c>
      <c r="W26" s="292">
        <v>304044</v>
      </c>
      <c r="X26" s="292">
        <v>12441411</v>
      </c>
      <c r="Z26" s="292">
        <v>11141383</v>
      </c>
      <c r="AD26" s="292">
        <v>16191016</v>
      </c>
      <c r="AI26" s="327"/>
      <c r="AJ26" s="328" t="s">
        <v>262</v>
      </c>
      <c r="AK26" s="329">
        <v>9309500</v>
      </c>
      <c r="AL26" s="330">
        <v>46.38</v>
      </c>
      <c r="AM26" s="331" t="e">
        <f t="shared" si="0"/>
        <v>#DIV/0!</v>
      </c>
      <c r="AN26" s="331"/>
    </row>
    <row r="27" spans="1:40" ht="24" customHeight="1">
      <c r="A27" s="473"/>
      <c r="B27" s="474"/>
      <c r="C27" s="475"/>
      <c r="D27" s="475"/>
      <c r="E27" s="475"/>
      <c r="F27" s="475"/>
      <c r="G27" s="475"/>
      <c r="H27" s="477"/>
      <c r="I27" s="554"/>
      <c r="J27" s="554"/>
      <c r="K27" s="555"/>
      <c r="L27" s="476"/>
      <c r="M27" s="299"/>
      <c r="S27" s="292">
        <v>673915</v>
      </c>
      <c r="AI27" s="741" t="s">
        <v>20</v>
      </c>
      <c r="AJ27" s="742"/>
      <c r="AK27" s="334">
        <f>SUM(AK9:AK26)</f>
        <v>4291781834</v>
      </c>
      <c r="AL27" s="335" t="e">
        <f>SUM(AM9:AM26)</f>
        <v>#DIV/0!</v>
      </c>
      <c r="AM27" s="331"/>
      <c r="AN27" s="331"/>
    </row>
    <row r="28" spans="1:40" ht="24" customHeight="1">
      <c r="A28" s="448" t="s">
        <v>148</v>
      </c>
      <c r="B28" s="302">
        <v>5.45</v>
      </c>
      <c r="C28" s="481">
        <v>0.96</v>
      </c>
      <c r="D28" s="481">
        <v>0.97</v>
      </c>
      <c r="E28" s="481">
        <v>0.98</v>
      </c>
      <c r="F28" s="481">
        <v>0.99</v>
      </c>
      <c r="G28" s="481">
        <v>1</v>
      </c>
      <c r="H28" s="716" t="s">
        <v>215</v>
      </c>
      <c r="I28" s="717"/>
      <c r="J28" s="717"/>
      <c r="K28" s="718"/>
      <c r="L28" s="303">
        <v>5</v>
      </c>
      <c r="M28" s="451">
        <f>IF(L28=0,"-",ROUND(L28*B28/B$66,4))</f>
        <v>0.40500000000000003</v>
      </c>
      <c r="S28" s="292">
        <v>59800</v>
      </c>
      <c r="AD28" s="292">
        <v>759313</v>
      </c>
      <c r="AI28" s="336"/>
      <c r="AJ28" s="337"/>
      <c r="AK28" s="338"/>
      <c r="AL28" s="339"/>
      <c r="AM28" s="340"/>
      <c r="AN28" s="340"/>
    </row>
    <row r="29" spans="1:40" ht="24" customHeight="1">
      <c r="A29" s="452" t="s">
        <v>28</v>
      </c>
      <c r="B29" s="459"/>
      <c r="C29" s="460"/>
      <c r="D29" s="460"/>
      <c r="E29" s="460"/>
      <c r="F29" s="460"/>
      <c r="G29" s="460"/>
      <c r="H29" s="700" t="s">
        <v>216</v>
      </c>
      <c r="I29" s="701"/>
      <c r="J29" s="701"/>
      <c r="K29" s="702"/>
      <c r="L29" s="456"/>
      <c r="M29" s="457"/>
      <c r="S29" s="292">
        <v>921324</v>
      </c>
      <c r="AI29" s="336"/>
      <c r="AJ29" s="337"/>
      <c r="AK29" s="338"/>
      <c r="AL29" s="339"/>
      <c r="AM29" s="340"/>
      <c r="AN29" s="340"/>
    </row>
    <row r="30" spans="1:40" ht="24" customHeight="1">
      <c r="A30" s="452" t="s">
        <v>60</v>
      </c>
      <c r="B30" s="459"/>
      <c r="C30" s="460"/>
      <c r="D30" s="460"/>
      <c r="E30" s="460"/>
      <c r="F30" s="460"/>
      <c r="G30" s="460"/>
      <c r="H30" s="700" t="s">
        <v>217</v>
      </c>
      <c r="I30" s="701"/>
      <c r="J30" s="701"/>
      <c r="K30" s="702"/>
      <c r="L30" s="456"/>
      <c r="M30" s="457"/>
      <c r="S30" s="292">
        <v>278675</v>
      </c>
      <c r="AD30" s="292">
        <f>AD28+AD26</f>
        <v>16950329</v>
      </c>
      <c r="AI30" s="318" t="s">
        <v>263</v>
      </c>
      <c r="AJ30" s="341" t="s">
        <v>14</v>
      </c>
      <c r="AK30" s="342" t="s">
        <v>264</v>
      </c>
      <c r="AL30" s="343" t="s">
        <v>86</v>
      </c>
      <c r="AM30" s="344"/>
      <c r="AN30" s="344" t="s">
        <v>265</v>
      </c>
    </row>
    <row r="31" spans="1:40" ht="24" customHeight="1">
      <c r="A31" s="452"/>
      <c r="B31" s="459"/>
      <c r="C31" s="460"/>
      <c r="D31" s="460"/>
      <c r="E31" s="460"/>
      <c r="F31" s="460"/>
      <c r="G31" s="460"/>
      <c r="H31" s="557"/>
      <c r="I31" s="471" t="s">
        <v>66</v>
      </c>
      <c r="J31" s="532">
        <v>85</v>
      </c>
      <c r="K31" s="558" t="s">
        <v>61</v>
      </c>
      <c r="L31" s="456"/>
      <c r="M31" s="457"/>
      <c r="S31" s="292">
        <v>250781</v>
      </c>
      <c r="AI31" s="345">
        <v>2</v>
      </c>
      <c r="AJ31" s="346" t="s">
        <v>266</v>
      </c>
      <c r="AK31" s="347">
        <v>300000</v>
      </c>
      <c r="AL31" s="348">
        <v>25981.55</v>
      </c>
      <c r="AM31" s="349"/>
      <c r="AN31" s="349">
        <f>AL31*100/AK31</f>
        <v>8.6605166666666662</v>
      </c>
    </row>
    <row r="32" spans="1:40" ht="24" customHeight="1">
      <c r="A32" s="452"/>
      <c r="B32" s="459"/>
      <c r="C32" s="460"/>
      <c r="D32" s="460"/>
      <c r="E32" s="460"/>
      <c r="F32" s="460"/>
      <c r="G32" s="460"/>
      <c r="H32" s="557"/>
      <c r="I32" s="471" t="s">
        <v>67</v>
      </c>
      <c r="J32" s="532">
        <v>82</v>
      </c>
      <c r="K32" s="558" t="s">
        <v>61</v>
      </c>
      <c r="L32" s="456"/>
      <c r="M32" s="457"/>
      <c r="S32" s="292">
        <v>39205</v>
      </c>
      <c r="AD32" s="292">
        <f>AD30/AD23*100</f>
        <v>70.186741555363483</v>
      </c>
      <c r="AI32" s="327">
        <v>3</v>
      </c>
      <c r="AJ32" s="328" t="s">
        <v>267</v>
      </c>
      <c r="AK32" s="329">
        <v>300000</v>
      </c>
      <c r="AL32" s="350">
        <v>26160</v>
      </c>
      <c r="AM32" s="351"/>
      <c r="AN32" s="351">
        <f t="shared" ref="AN32:AN39" si="2">AL32*100/AK32</f>
        <v>8.7200000000000006</v>
      </c>
    </row>
    <row r="33" spans="1:40" ht="24" customHeight="1">
      <c r="A33" s="452"/>
      <c r="B33" s="459"/>
      <c r="C33" s="460"/>
      <c r="D33" s="460"/>
      <c r="E33" s="460"/>
      <c r="F33" s="460"/>
      <c r="G33" s="460"/>
      <c r="H33" s="549"/>
      <c r="I33" s="533" t="s">
        <v>81</v>
      </c>
      <c r="J33" s="486">
        <f>ROUND(J32*100/J31,2)</f>
        <v>96.47</v>
      </c>
      <c r="K33" s="551" t="s">
        <v>51</v>
      </c>
      <c r="L33" s="456"/>
      <c r="M33" s="457"/>
      <c r="R33" s="292" t="e">
        <f>R23/R24*100</f>
        <v>#REF!</v>
      </c>
      <c r="S33" s="292" t="e">
        <f>S23/S24*100</f>
        <v>#REF!</v>
      </c>
      <c r="T33" s="292">
        <f t="shared" ref="T33:AD33" si="3">T23/T24*100</f>
        <v>49.724081657390656</v>
      </c>
      <c r="W33" s="292" t="e">
        <f t="shared" si="3"/>
        <v>#REF!</v>
      </c>
      <c r="X33" s="292" t="e">
        <f t="shared" si="3"/>
        <v>#REF!</v>
      </c>
      <c r="Y33" s="292">
        <f t="shared" si="3"/>
        <v>100</v>
      </c>
      <c r="Z33" s="292" t="e">
        <f t="shared" si="3"/>
        <v>#REF!</v>
      </c>
      <c r="AA33" s="292">
        <f t="shared" si="3"/>
        <v>98.732520433021392</v>
      </c>
      <c r="AB33" s="292">
        <f>AB23/AB24*100</f>
        <v>100</v>
      </c>
      <c r="AD33" s="292" t="e">
        <f t="shared" si="3"/>
        <v>#REF!</v>
      </c>
      <c r="AI33" s="327">
        <v>4</v>
      </c>
      <c r="AJ33" s="328" t="s">
        <v>268</v>
      </c>
      <c r="AK33" s="329">
        <v>500000</v>
      </c>
      <c r="AL33" s="350">
        <v>166219.85</v>
      </c>
      <c r="AM33" s="351"/>
      <c r="AN33" s="351">
        <f t="shared" si="2"/>
        <v>33.243969999999997</v>
      </c>
    </row>
    <row r="34" spans="1:40" ht="24" customHeight="1">
      <c r="A34" s="473"/>
      <c r="B34" s="474"/>
      <c r="C34" s="475"/>
      <c r="D34" s="475"/>
      <c r="E34" s="475"/>
      <c r="F34" s="475"/>
      <c r="G34" s="475"/>
      <c r="H34" s="706"/>
      <c r="I34" s="707"/>
      <c r="J34" s="707"/>
      <c r="K34" s="708"/>
      <c r="L34" s="476"/>
      <c r="M34" s="299"/>
      <c r="AI34" s="327">
        <v>6</v>
      </c>
      <c r="AJ34" s="328" t="s">
        <v>269</v>
      </c>
      <c r="AK34" s="329">
        <v>300000</v>
      </c>
      <c r="AL34" s="350">
        <v>49020</v>
      </c>
      <c r="AM34" s="351"/>
      <c r="AN34" s="351">
        <f t="shared" si="2"/>
        <v>16.34</v>
      </c>
    </row>
    <row r="35" spans="1:40" ht="24" customHeight="1">
      <c r="A35" s="448" t="s">
        <v>160</v>
      </c>
      <c r="B35" s="302">
        <v>5.45</v>
      </c>
      <c r="C35" s="481">
        <v>0.5</v>
      </c>
      <c r="D35" s="481">
        <v>0.75</v>
      </c>
      <c r="E35" s="481">
        <v>1</v>
      </c>
      <c r="F35" s="481">
        <v>1</v>
      </c>
      <c r="G35" s="481">
        <v>1</v>
      </c>
      <c r="H35" s="703" t="s">
        <v>270</v>
      </c>
      <c r="I35" s="704"/>
      <c r="J35" s="704"/>
      <c r="K35" s="705"/>
      <c r="L35" s="303">
        <v>5</v>
      </c>
      <c r="M35" s="451">
        <f>IF(L35=0,"-",ROUND(L35*B35/B$66,4))</f>
        <v>0.40500000000000003</v>
      </c>
      <c r="AI35" s="327">
        <v>9</v>
      </c>
      <c r="AJ35" s="328" t="s">
        <v>271</v>
      </c>
      <c r="AK35" s="329">
        <v>300000</v>
      </c>
      <c r="AL35" s="350">
        <v>0</v>
      </c>
      <c r="AM35" s="351"/>
      <c r="AN35" s="351">
        <f t="shared" si="2"/>
        <v>0</v>
      </c>
    </row>
    <row r="36" spans="1:40" ht="24" customHeight="1">
      <c r="A36" s="452" t="s">
        <v>161</v>
      </c>
      <c r="B36" s="453"/>
      <c r="C36" s="487"/>
      <c r="D36" s="487"/>
      <c r="E36" s="487"/>
      <c r="F36" s="487" t="s">
        <v>70</v>
      </c>
      <c r="G36" s="487" t="s">
        <v>70</v>
      </c>
      <c r="H36" s="701" t="s">
        <v>272</v>
      </c>
      <c r="I36" s="701"/>
      <c r="J36" s="701"/>
      <c r="K36" s="702"/>
      <c r="L36" s="456"/>
      <c r="M36" s="457"/>
      <c r="AI36" s="327">
        <v>11</v>
      </c>
      <c r="AJ36" s="328" t="s">
        <v>273</v>
      </c>
      <c r="AK36" s="329">
        <v>500000</v>
      </c>
      <c r="AL36" s="350">
        <v>62536.11</v>
      </c>
      <c r="AM36" s="351"/>
      <c r="AN36" s="351">
        <f t="shared" si="2"/>
        <v>12.507222000000001</v>
      </c>
    </row>
    <row r="37" spans="1:40" ht="24" customHeight="1">
      <c r="A37" s="452" t="s">
        <v>310</v>
      </c>
      <c r="B37" s="453"/>
      <c r="C37" s="487"/>
      <c r="D37" s="487"/>
      <c r="E37" s="487"/>
      <c r="F37" s="487" t="s">
        <v>138</v>
      </c>
      <c r="G37" s="487" t="s">
        <v>139</v>
      </c>
      <c r="H37" s="557"/>
      <c r="I37" s="471" t="s">
        <v>56</v>
      </c>
      <c r="J37" s="472">
        <v>100</v>
      </c>
      <c r="K37" s="551" t="s">
        <v>274</v>
      </c>
      <c r="L37" s="456"/>
      <c r="M37" s="457"/>
      <c r="AI37" s="327"/>
      <c r="AJ37" s="328" t="s">
        <v>275</v>
      </c>
      <c r="AK37" s="329">
        <v>300000</v>
      </c>
      <c r="AL37" s="350">
        <v>57903.85</v>
      </c>
      <c r="AM37" s="351"/>
      <c r="AN37" s="351">
        <f t="shared" si="2"/>
        <v>19.301283333333334</v>
      </c>
    </row>
    <row r="38" spans="1:40" ht="24" customHeight="1">
      <c r="A38" s="473"/>
      <c r="B38" s="474"/>
      <c r="C38" s="475"/>
      <c r="D38" s="475"/>
      <c r="E38" s="475"/>
      <c r="F38" s="475"/>
      <c r="G38" s="475"/>
      <c r="H38" s="706"/>
      <c r="I38" s="709"/>
      <c r="J38" s="709"/>
      <c r="K38" s="710"/>
      <c r="L38" s="476"/>
      <c r="M38" s="299"/>
      <c r="AI38" s="327"/>
      <c r="AJ38" s="328" t="s">
        <v>276</v>
      </c>
      <c r="AK38" s="329">
        <v>300000</v>
      </c>
      <c r="AL38" s="350">
        <v>94848.7</v>
      </c>
      <c r="AM38" s="351"/>
      <c r="AN38" s="351">
        <f t="shared" si="2"/>
        <v>31.616233333333334</v>
      </c>
    </row>
    <row r="39" spans="1:40" ht="24" customHeight="1">
      <c r="A39" s="448" t="s">
        <v>150</v>
      </c>
      <c r="B39" s="302">
        <v>1.87</v>
      </c>
      <c r="C39" s="481">
        <v>0.6</v>
      </c>
      <c r="D39" s="481">
        <v>0.65</v>
      </c>
      <c r="E39" s="481">
        <v>0.7</v>
      </c>
      <c r="F39" s="481">
        <v>0.75</v>
      </c>
      <c r="G39" s="481">
        <v>0.8</v>
      </c>
      <c r="H39" s="703" t="s">
        <v>222</v>
      </c>
      <c r="I39" s="704"/>
      <c r="J39" s="704"/>
      <c r="K39" s="705"/>
      <c r="L39" s="303">
        <v>5</v>
      </c>
      <c r="M39" s="451">
        <f>IF(L39=0,"-",ROUND(L39*B39/B$66,4))</f>
        <v>0.13900000000000001</v>
      </c>
      <c r="AI39" s="327"/>
      <c r="AJ39" s="328" t="s">
        <v>277</v>
      </c>
      <c r="AK39" s="329">
        <v>500000</v>
      </c>
      <c r="AL39" s="350">
        <v>150000</v>
      </c>
      <c r="AM39" s="351"/>
      <c r="AN39" s="351">
        <f t="shared" si="2"/>
        <v>30</v>
      </c>
    </row>
    <row r="40" spans="1:40" ht="24" customHeight="1">
      <c r="A40" s="452" t="s">
        <v>151</v>
      </c>
      <c r="B40" s="453"/>
      <c r="C40" s="537"/>
      <c r="D40" s="537"/>
      <c r="E40" s="537"/>
      <c r="F40" s="537"/>
      <c r="G40" s="537"/>
      <c r="H40" s="700" t="s">
        <v>223</v>
      </c>
      <c r="I40" s="701"/>
      <c r="J40" s="701"/>
      <c r="K40" s="702"/>
      <c r="L40" s="456"/>
      <c r="M40" s="457"/>
      <c r="AI40" s="327"/>
      <c r="AJ40" s="328"/>
      <c r="AK40" s="329" t="e">
        <f>AK31+AK32+AK33+#REF!+AK34+AK35+AK36+AK37+#REF!+AK38+#REF!+#REF!+#REF!+#REF!+#REF!+#REF!+AK39</f>
        <v>#REF!</v>
      </c>
      <c r="AL40" s="350" t="e">
        <f>AL31+AL32+AL33+#REF!+AL34+AL35+AL36+AL37+#REF!+AL38+#REF!+#REF!+#REF!+#REF!+#REF!+#REF!+AL39</f>
        <v>#REF!</v>
      </c>
      <c r="AM40" s="351"/>
      <c r="AN40" s="351" t="e">
        <f>AL40*100/AK40</f>
        <v>#REF!</v>
      </c>
    </row>
    <row r="41" spans="1:40" ht="24" customHeight="1">
      <c r="A41" s="452" t="s">
        <v>91</v>
      </c>
      <c r="B41" s="459"/>
      <c r="C41" s="460"/>
      <c r="D41" s="460"/>
      <c r="E41" s="460"/>
      <c r="F41" s="460"/>
      <c r="G41" s="460"/>
      <c r="H41" s="700" t="s">
        <v>224</v>
      </c>
      <c r="I41" s="701"/>
      <c r="J41" s="701"/>
      <c r="K41" s="702"/>
      <c r="L41" s="456"/>
      <c r="M41" s="457"/>
    </row>
    <row r="42" spans="1:40" ht="24" customHeight="1">
      <c r="A42" s="452"/>
      <c r="B42" s="459"/>
      <c r="C42" s="460"/>
      <c r="D42" s="460"/>
      <c r="E42" s="460"/>
      <c r="F42" s="460"/>
      <c r="G42" s="460"/>
      <c r="H42" s="557"/>
      <c r="I42" s="471" t="s">
        <v>97</v>
      </c>
      <c r="J42" s="532">
        <v>271</v>
      </c>
      <c r="K42" s="558" t="s">
        <v>96</v>
      </c>
      <c r="L42" s="456"/>
      <c r="M42" s="457"/>
    </row>
    <row r="43" spans="1:40" ht="24" customHeight="1">
      <c r="A43" s="452"/>
      <c r="B43" s="459"/>
      <c r="C43" s="460"/>
      <c r="D43" s="460"/>
      <c r="E43" s="460"/>
      <c r="F43" s="460"/>
      <c r="G43" s="460"/>
      <c r="H43" s="557"/>
      <c r="I43" s="471" t="s">
        <v>98</v>
      </c>
      <c r="J43" s="532">
        <v>271</v>
      </c>
      <c r="K43" s="558" t="s">
        <v>96</v>
      </c>
      <c r="L43" s="456"/>
      <c r="M43" s="457"/>
    </row>
    <row r="44" spans="1:40" ht="24" customHeight="1">
      <c r="A44" s="452"/>
      <c r="B44" s="459"/>
      <c r="C44" s="460"/>
      <c r="D44" s="460"/>
      <c r="E44" s="460"/>
      <c r="F44" s="460"/>
      <c r="G44" s="460"/>
      <c r="H44" s="549"/>
      <c r="I44" s="471" t="s">
        <v>35</v>
      </c>
      <c r="J44" s="486">
        <f>ROUND(J43*100/J42,2)</f>
        <v>100</v>
      </c>
      <c r="K44" s="551" t="s">
        <v>51</v>
      </c>
      <c r="L44" s="456"/>
      <c r="M44" s="457"/>
    </row>
    <row r="45" spans="1:40" ht="24" customHeight="1">
      <c r="A45" s="473"/>
      <c r="B45" s="474"/>
      <c r="C45" s="475"/>
      <c r="D45" s="475"/>
      <c r="E45" s="475"/>
      <c r="F45" s="475"/>
      <c r="G45" s="475"/>
      <c r="H45" s="538"/>
      <c r="I45" s="488"/>
      <c r="J45" s="488"/>
      <c r="K45" s="556"/>
      <c r="L45" s="476"/>
      <c r="M45" s="299"/>
    </row>
    <row r="46" spans="1:40" ht="24" customHeight="1">
      <c r="A46" s="489" t="s">
        <v>152</v>
      </c>
      <c r="B46" s="490">
        <v>5.45</v>
      </c>
      <c r="C46" s="491">
        <v>0.65</v>
      </c>
      <c r="D46" s="491">
        <v>0.7</v>
      </c>
      <c r="E46" s="491">
        <v>0.75</v>
      </c>
      <c r="F46" s="491">
        <v>0.8</v>
      </c>
      <c r="G46" s="491">
        <v>0.85</v>
      </c>
      <c r="H46" s="703" t="s">
        <v>225</v>
      </c>
      <c r="I46" s="704"/>
      <c r="J46" s="704"/>
      <c r="K46" s="705"/>
      <c r="L46" s="303">
        <v>4.7939999999999996</v>
      </c>
      <c r="M46" s="451">
        <f>IF(L46=0,"-",ROUND(L46*B46/B$66,4))</f>
        <v>0.38829999999999998</v>
      </c>
    </row>
    <row r="47" spans="1:40" ht="24" customHeight="1">
      <c r="A47" s="452" t="s">
        <v>153</v>
      </c>
      <c r="B47" s="459"/>
      <c r="C47" s="460"/>
      <c r="D47" s="460"/>
      <c r="E47" s="460"/>
      <c r="F47" s="460"/>
      <c r="G47" s="460"/>
      <c r="H47" s="700" t="s">
        <v>226</v>
      </c>
      <c r="I47" s="701"/>
      <c r="J47" s="701"/>
      <c r="K47" s="702"/>
      <c r="L47" s="456"/>
      <c r="M47" s="457"/>
    </row>
    <row r="48" spans="1:40" ht="24" customHeight="1">
      <c r="A48" s="492" t="s">
        <v>162</v>
      </c>
      <c r="B48" s="459"/>
      <c r="C48" s="460"/>
      <c r="D48" s="460"/>
      <c r="E48" s="460"/>
      <c r="F48" s="460"/>
      <c r="G48" s="460"/>
      <c r="H48" s="557" t="s">
        <v>200</v>
      </c>
      <c r="I48" s="493" t="s">
        <v>113</v>
      </c>
      <c r="J48" s="486">
        <v>83.97</v>
      </c>
      <c r="K48" s="551" t="s">
        <v>51</v>
      </c>
      <c r="L48" s="456"/>
      <c r="M48" s="457"/>
    </row>
    <row r="49" spans="1:34" ht="24" customHeight="1">
      <c r="A49" s="452"/>
      <c r="B49" s="459"/>
      <c r="C49" s="460"/>
      <c r="D49" s="460"/>
      <c r="E49" s="460"/>
      <c r="F49" s="460"/>
      <c r="G49" s="494"/>
      <c r="H49" s="495"/>
      <c r="I49" s="495"/>
      <c r="J49" s="495"/>
      <c r="K49" s="495"/>
      <c r="L49" s="456"/>
      <c r="M49" s="457"/>
    </row>
    <row r="50" spans="1:34" ht="24" customHeight="1">
      <c r="A50" s="448" t="s">
        <v>154</v>
      </c>
      <c r="B50" s="490">
        <v>5.45</v>
      </c>
      <c r="C50" s="496" t="s">
        <v>29</v>
      </c>
      <c r="D50" s="496" t="s">
        <v>30</v>
      </c>
      <c r="E50" s="496" t="s">
        <v>31</v>
      </c>
      <c r="F50" s="496" t="s">
        <v>32</v>
      </c>
      <c r="G50" s="496" t="s">
        <v>33</v>
      </c>
      <c r="H50" s="703" t="s">
        <v>227</v>
      </c>
      <c r="I50" s="704"/>
      <c r="J50" s="704"/>
      <c r="K50" s="705"/>
      <c r="L50" s="303">
        <v>5</v>
      </c>
      <c r="M50" s="451">
        <f>IF(L50=0,"-",ROUND(L50*B50/B$66,4))</f>
        <v>0.40500000000000003</v>
      </c>
    </row>
    <row r="51" spans="1:34" ht="24" customHeight="1">
      <c r="A51" s="452" t="s">
        <v>107</v>
      </c>
      <c r="B51" s="459"/>
      <c r="C51" s="497">
        <v>1.5</v>
      </c>
      <c r="D51" s="497">
        <v>2</v>
      </c>
      <c r="E51" s="497">
        <v>2.5</v>
      </c>
      <c r="F51" s="497">
        <v>3</v>
      </c>
      <c r="G51" s="497">
        <v>5</v>
      </c>
      <c r="H51" s="700" t="s">
        <v>228</v>
      </c>
      <c r="I51" s="701"/>
      <c r="J51" s="701"/>
      <c r="K51" s="702"/>
      <c r="L51" s="456"/>
      <c r="M51" s="457"/>
    </row>
    <row r="52" spans="1:34" ht="24" customHeight="1">
      <c r="A52" s="452" t="s">
        <v>310</v>
      </c>
      <c r="B52" s="459"/>
      <c r="C52" s="494"/>
      <c r="D52" s="494"/>
      <c r="E52" s="494"/>
      <c r="F52" s="494"/>
      <c r="G52" s="494"/>
      <c r="H52" s="700" t="s">
        <v>213</v>
      </c>
      <c r="I52" s="701"/>
      <c r="J52" s="701"/>
      <c r="K52" s="702"/>
      <c r="L52" s="456"/>
      <c r="M52" s="457"/>
    </row>
    <row r="53" spans="1:34" ht="24" customHeight="1">
      <c r="A53" s="452"/>
      <c r="B53" s="459"/>
      <c r="C53" s="494"/>
      <c r="D53" s="494"/>
      <c r="E53" s="494"/>
      <c r="F53" s="494"/>
      <c r="G53" s="494"/>
      <c r="H53" s="549"/>
      <c r="I53" s="471" t="s">
        <v>112</v>
      </c>
      <c r="J53" s="472">
        <v>3</v>
      </c>
      <c r="K53" s="558"/>
      <c r="L53" s="456"/>
      <c r="M53" s="457"/>
    </row>
    <row r="54" spans="1:34" ht="24" customHeight="1">
      <c r="A54" s="473"/>
      <c r="B54" s="474"/>
      <c r="C54" s="475"/>
      <c r="D54" s="475"/>
      <c r="E54" s="475"/>
      <c r="F54" s="475"/>
      <c r="G54" s="475"/>
      <c r="H54" s="477"/>
      <c r="I54" s="554"/>
      <c r="J54" s="554"/>
      <c r="K54" s="555"/>
      <c r="L54" s="476"/>
      <c r="M54" s="299"/>
    </row>
    <row r="55" spans="1:34" ht="24" customHeight="1">
      <c r="A55" s="539" t="s">
        <v>155</v>
      </c>
      <c r="B55" s="490">
        <v>5.45</v>
      </c>
      <c r="C55" s="491">
        <v>0.1</v>
      </c>
      <c r="D55" s="491">
        <v>0.3</v>
      </c>
      <c r="E55" s="491">
        <v>0.5</v>
      </c>
      <c r="F55" s="491">
        <v>0.7</v>
      </c>
      <c r="G55" s="491">
        <v>1</v>
      </c>
      <c r="H55" s="738" t="s">
        <v>364</v>
      </c>
      <c r="I55" s="739"/>
      <c r="J55" s="739"/>
      <c r="K55" s="740"/>
      <c r="L55" s="303">
        <f>ROUND(4+((J58-70)*1/30),4)</f>
        <v>5</v>
      </c>
      <c r="M55" s="451">
        <f>IF(L55=0,"-",ROUND(L55*B55/B$66,4))</f>
        <v>0.40500000000000003</v>
      </c>
      <c r="Q55" s="292" t="s">
        <v>164</v>
      </c>
      <c r="R55" s="292" t="s">
        <v>165</v>
      </c>
      <c r="S55" s="292" t="s">
        <v>166</v>
      </c>
      <c r="T55" s="292" t="s">
        <v>180</v>
      </c>
      <c r="U55" s="292" t="s">
        <v>181</v>
      </c>
      <c r="V55" s="292" t="s">
        <v>278</v>
      </c>
      <c r="W55" s="292" t="s">
        <v>183</v>
      </c>
      <c r="X55" s="292" t="s">
        <v>184</v>
      </c>
      <c r="Y55" s="292" t="s">
        <v>185</v>
      </c>
      <c r="Z55" s="292" t="s">
        <v>186</v>
      </c>
      <c r="AA55" s="292" t="s">
        <v>187</v>
      </c>
      <c r="AB55" s="292" t="s">
        <v>188</v>
      </c>
      <c r="AC55" s="292" t="s">
        <v>189</v>
      </c>
      <c r="AD55" s="292" t="s">
        <v>190</v>
      </c>
      <c r="AE55" s="292" t="s">
        <v>191</v>
      </c>
      <c r="AF55" s="292" t="s">
        <v>192</v>
      </c>
      <c r="AG55" s="292" t="s">
        <v>193</v>
      </c>
      <c r="AH55" s="292" t="s">
        <v>20</v>
      </c>
    </row>
    <row r="56" spans="1:34" ht="24" customHeight="1">
      <c r="A56" s="541" t="s">
        <v>197</v>
      </c>
      <c r="B56" s="542"/>
      <c r="C56" s="460"/>
      <c r="D56" s="460"/>
      <c r="E56" s="460"/>
      <c r="F56" s="460"/>
      <c r="G56" s="482"/>
      <c r="H56" s="560" t="s">
        <v>317</v>
      </c>
      <c r="I56" s="501"/>
      <c r="J56" s="581"/>
      <c r="K56" s="582"/>
      <c r="L56" s="458"/>
      <c r="M56" s="457"/>
      <c r="Q56" s="292">
        <v>82</v>
      </c>
      <c r="R56" s="292">
        <v>100</v>
      </c>
      <c r="S56" s="292">
        <v>0</v>
      </c>
      <c r="T56" s="292">
        <v>82</v>
      </c>
      <c r="U56" s="292">
        <v>72</v>
      </c>
      <c r="V56" s="292">
        <v>81</v>
      </c>
      <c r="W56" s="292">
        <v>95</v>
      </c>
      <c r="X56" s="292">
        <v>72</v>
      </c>
      <c r="Y56" s="292">
        <v>80</v>
      </c>
      <c r="Z56" s="292">
        <v>76</v>
      </c>
      <c r="AA56" s="292">
        <v>76</v>
      </c>
      <c r="AB56" s="292">
        <v>86</v>
      </c>
      <c r="AC56" s="292">
        <v>76</v>
      </c>
      <c r="AD56" s="292">
        <v>70</v>
      </c>
      <c r="AE56" s="292">
        <v>100</v>
      </c>
      <c r="AF56" s="292">
        <v>72</v>
      </c>
      <c r="AG56" s="292">
        <v>95</v>
      </c>
      <c r="AH56" s="315">
        <f>(Q56+R56+S56+T56+U56+V56+W56+X56+Y56+Z56+AA56+AB56+AC56+AD56+AE56+AF56+AG56)/17</f>
        <v>77.352941176470594</v>
      </c>
    </row>
    <row r="57" spans="1:34" ht="24" customHeight="1">
      <c r="A57" s="452" t="s">
        <v>310</v>
      </c>
      <c r="B57" s="542"/>
      <c r="C57" s="460"/>
      <c r="D57" s="460"/>
      <c r="E57" s="460"/>
      <c r="F57" s="460"/>
      <c r="G57" s="460"/>
      <c r="H57" s="561" t="s">
        <v>231</v>
      </c>
      <c r="I57" s="501"/>
      <c r="J57" s="581"/>
      <c r="K57" s="582"/>
      <c r="L57" s="458"/>
      <c r="M57" s="457"/>
    </row>
    <row r="58" spans="1:34" ht="24" customHeight="1">
      <c r="A58" s="541"/>
      <c r="B58" s="542"/>
      <c r="C58" s="460"/>
      <c r="D58" s="460"/>
      <c r="E58" s="460"/>
      <c r="F58" s="460"/>
      <c r="G58" s="460"/>
      <c r="H58" s="560"/>
      <c r="I58" s="400" t="s">
        <v>114</v>
      </c>
      <c r="J58" s="545">
        <v>100</v>
      </c>
      <c r="K58" s="558" t="s">
        <v>51</v>
      </c>
      <c r="L58" s="458"/>
      <c r="M58" s="457"/>
      <c r="P58" s="305"/>
    </row>
    <row r="59" spans="1:34" ht="24" customHeight="1">
      <c r="A59" s="546"/>
      <c r="B59" s="547"/>
      <c r="C59" s="475"/>
      <c r="D59" s="475"/>
      <c r="E59" s="475"/>
      <c r="F59" s="475"/>
      <c r="G59" s="475"/>
      <c r="H59" s="478"/>
      <c r="I59" s="554"/>
      <c r="J59" s="554"/>
      <c r="K59" s="555"/>
      <c r="L59" s="548"/>
      <c r="M59" s="299"/>
    </row>
    <row r="60" spans="1:34" ht="24" customHeight="1">
      <c r="A60" s="448" t="s">
        <v>156</v>
      </c>
      <c r="B60" s="490">
        <v>5.45</v>
      </c>
      <c r="C60" s="498">
        <v>0.8</v>
      </c>
      <c r="D60" s="498">
        <v>0.85</v>
      </c>
      <c r="E60" s="498">
        <v>0.9</v>
      </c>
      <c r="F60" s="498">
        <v>0.95</v>
      </c>
      <c r="G60" s="498">
        <v>1</v>
      </c>
      <c r="H60" s="703" t="s">
        <v>232</v>
      </c>
      <c r="I60" s="704"/>
      <c r="J60" s="704"/>
      <c r="K60" s="705"/>
      <c r="L60" s="303">
        <v>4.7320000000000002</v>
      </c>
      <c r="M60" s="451">
        <f>IF(L60=0,"-",ROUND(L60*B60/B$66,4))</f>
        <v>0.38329999999999997</v>
      </c>
      <c r="R60" s="306"/>
    </row>
    <row r="61" spans="1:34" ht="24" customHeight="1">
      <c r="A61" s="452" t="s">
        <v>116</v>
      </c>
      <c r="B61" s="459"/>
      <c r="C61" s="497"/>
      <c r="D61" s="497"/>
      <c r="E61" s="497"/>
      <c r="F61" s="497"/>
      <c r="G61" s="497"/>
      <c r="H61" s="700" t="s">
        <v>233</v>
      </c>
      <c r="I61" s="701"/>
      <c r="J61" s="701"/>
      <c r="K61" s="702"/>
      <c r="L61" s="456"/>
      <c r="M61" s="457"/>
    </row>
    <row r="62" spans="1:34" ht="24" customHeight="1">
      <c r="A62" s="452" t="s">
        <v>198</v>
      </c>
      <c r="B62" s="459"/>
      <c r="C62" s="460"/>
      <c r="D62" s="460"/>
      <c r="E62" s="460"/>
      <c r="F62" s="460"/>
      <c r="G62" s="460"/>
      <c r="H62" s="700" t="s">
        <v>234</v>
      </c>
      <c r="I62" s="701"/>
      <c r="J62" s="701"/>
      <c r="K62" s="702"/>
      <c r="L62" s="456"/>
      <c r="M62" s="457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  <c r="Z62" s="298"/>
      <c r="AA62" s="298"/>
      <c r="AB62" s="298"/>
      <c r="AC62" s="298"/>
      <c r="AD62" s="298"/>
      <c r="AE62" s="298"/>
      <c r="AF62" s="298"/>
    </row>
    <row r="63" spans="1:34" ht="24" customHeight="1">
      <c r="A63" s="452" t="s">
        <v>310</v>
      </c>
      <c r="B63" s="459"/>
      <c r="C63" s="460"/>
      <c r="D63" s="460"/>
      <c r="E63" s="460"/>
      <c r="F63" s="460"/>
      <c r="G63" s="460"/>
      <c r="H63" s="549" t="s">
        <v>235</v>
      </c>
      <c r="I63" s="550"/>
      <c r="J63" s="550"/>
      <c r="K63" s="551"/>
      <c r="L63" s="456"/>
      <c r="M63" s="457"/>
      <c r="O63" s="307"/>
      <c r="P63" s="307"/>
      <c r="Q63" s="307"/>
      <c r="R63" s="307"/>
      <c r="S63" s="307"/>
      <c r="T63" s="307"/>
      <c r="U63" s="307"/>
      <c r="V63" s="307"/>
      <c r="W63" s="307"/>
      <c r="X63" s="307"/>
      <c r="Y63" s="307"/>
      <c r="Z63" s="307"/>
      <c r="AA63" s="307"/>
      <c r="AB63" s="307"/>
      <c r="AC63" s="307"/>
      <c r="AD63" s="307"/>
      <c r="AE63" s="307"/>
      <c r="AF63" s="307"/>
    </row>
    <row r="64" spans="1:34" ht="24" customHeight="1">
      <c r="A64" s="452"/>
      <c r="B64" s="459"/>
      <c r="C64" s="460"/>
      <c r="D64" s="460"/>
      <c r="E64" s="460"/>
      <c r="F64" s="460"/>
      <c r="G64" s="460"/>
      <c r="H64" s="549" t="s">
        <v>201</v>
      </c>
      <c r="I64" s="550"/>
      <c r="J64" s="550"/>
      <c r="K64" s="551"/>
      <c r="L64" s="456"/>
      <c r="M64" s="457"/>
      <c r="O64" s="307"/>
      <c r="P64" s="307"/>
      <c r="Q64" s="307"/>
      <c r="R64" s="307"/>
      <c r="S64" s="307"/>
      <c r="T64" s="307"/>
      <c r="U64" s="307"/>
      <c r="V64" s="307"/>
      <c r="W64" s="307"/>
      <c r="X64" s="307"/>
      <c r="Y64" s="307"/>
      <c r="Z64" s="307"/>
      <c r="AA64" s="307"/>
      <c r="AB64" s="307"/>
      <c r="AC64" s="307"/>
      <c r="AD64" s="307"/>
      <c r="AE64" s="307"/>
      <c r="AF64" s="307"/>
    </row>
    <row r="65" spans="1:32" ht="24" customHeight="1">
      <c r="A65" s="452"/>
      <c r="B65" s="500"/>
      <c r="C65" s="460"/>
      <c r="D65" s="460"/>
      <c r="E65" s="460"/>
      <c r="F65" s="460"/>
      <c r="G65" s="494"/>
      <c r="H65" s="549"/>
      <c r="I65" s="550" t="s">
        <v>202</v>
      </c>
      <c r="J65" s="550"/>
      <c r="K65" s="550"/>
      <c r="L65" s="456"/>
      <c r="M65" s="457"/>
      <c r="O65" s="307"/>
      <c r="P65" s="307"/>
      <c r="Q65" s="307"/>
      <c r="R65" s="307"/>
      <c r="S65" s="307"/>
      <c r="T65" s="307"/>
      <c r="U65" s="307"/>
      <c r="V65" s="307"/>
      <c r="W65" s="307"/>
      <c r="X65" s="307"/>
      <c r="Y65" s="307"/>
      <c r="Z65" s="307"/>
      <c r="AA65" s="307"/>
      <c r="AB65" s="307"/>
      <c r="AC65" s="307"/>
      <c r="AD65" s="307"/>
      <c r="AE65" s="307"/>
      <c r="AF65" s="307"/>
    </row>
    <row r="66" spans="1:32" ht="24" customHeight="1">
      <c r="A66" s="309"/>
      <c r="B66" s="310">
        <f>SUM(B6:B65)</f>
        <v>67.280000000000015</v>
      </c>
      <c r="C66" s="311"/>
      <c r="D66" s="311"/>
      <c r="E66" s="311"/>
      <c r="F66" s="311"/>
      <c r="G66" s="312"/>
      <c r="H66" s="311"/>
      <c r="I66" s="311"/>
      <c r="J66" s="311"/>
      <c r="K66" s="311"/>
      <c r="L66" s="428" t="s">
        <v>140</v>
      </c>
      <c r="M66" s="316">
        <f>SUM(M6:M65)</f>
        <v>4.8454000000000015</v>
      </c>
      <c r="O66" s="307"/>
      <c r="P66" s="307"/>
      <c r="Q66" s="307"/>
      <c r="R66" s="307"/>
      <c r="S66" s="307"/>
      <c r="T66" s="307"/>
      <c r="U66" s="307"/>
      <c r="V66" s="307"/>
      <c r="W66" s="307"/>
      <c r="X66" s="307"/>
      <c r="Y66" s="307"/>
      <c r="Z66" s="307"/>
      <c r="AA66" s="307"/>
      <c r="AB66" s="307"/>
      <c r="AC66" s="307"/>
      <c r="AD66" s="307"/>
      <c r="AE66" s="307"/>
      <c r="AF66" s="307"/>
    </row>
    <row r="67" spans="1:32" ht="24" customHeight="1">
      <c r="O67" s="307"/>
      <c r="P67" s="307"/>
      <c r="Q67" s="307"/>
      <c r="R67" s="307"/>
      <c r="S67" s="307"/>
      <c r="T67" s="307"/>
      <c r="U67" s="307"/>
      <c r="V67" s="308"/>
      <c r="W67" s="307"/>
      <c r="X67" s="307"/>
      <c r="Y67" s="307"/>
      <c r="Z67" s="307"/>
      <c r="AA67" s="307"/>
      <c r="AB67" s="307"/>
      <c r="AC67" s="307"/>
      <c r="AD67" s="307"/>
      <c r="AE67" s="307"/>
      <c r="AF67" s="307"/>
    </row>
    <row r="68" spans="1:32" ht="24" customHeight="1">
      <c r="A68" s="314"/>
    </row>
    <row r="69" spans="1:32" ht="24" customHeight="1"/>
    <row r="70" spans="1:32" ht="24" customHeight="1"/>
    <row r="71" spans="1:32" ht="24" customHeight="1"/>
    <row r="72" spans="1:32" ht="24" customHeight="1"/>
    <row r="73" spans="1:32" ht="24" customHeight="1"/>
    <row r="74" spans="1:32" ht="24" customHeight="1"/>
    <row r="75" spans="1:32" ht="24" customHeight="1"/>
  </sheetData>
  <mergeCells count="40">
    <mergeCell ref="H6:K6"/>
    <mergeCell ref="A1:M1"/>
    <mergeCell ref="A2:M2"/>
    <mergeCell ref="C4:G4"/>
    <mergeCell ref="H4:K5"/>
    <mergeCell ref="L4:L5"/>
    <mergeCell ref="H23:K23"/>
    <mergeCell ref="H7:K7"/>
    <mergeCell ref="H8:K8"/>
    <mergeCell ref="H9:K9"/>
    <mergeCell ref="H11:K11"/>
    <mergeCell ref="H12:K12"/>
    <mergeCell ref="H13:K13"/>
    <mergeCell ref="H14:K14"/>
    <mergeCell ref="H17:K17"/>
    <mergeCell ref="H18:K18"/>
    <mergeCell ref="H19:K19"/>
    <mergeCell ref="H22:K22"/>
    <mergeCell ref="H40:K40"/>
    <mergeCell ref="H24:K24"/>
    <mergeCell ref="H25:K25"/>
    <mergeCell ref="AI27:AJ27"/>
    <mergeCell ref="H28:K28"/>
    <mergeCell ref="H29:K29"/>
    <mergeCell ref="H30:K30"/>
    <mergeCell ref="H34:K34"/>
    <mergeCell ref="H35:K35"/>
    <mergeCell ref="H36:K36"/>
    <mergeCell ref="H38:K38"/>
    <mergeCell ref="H39:K39"/>
    <mergeCell ref="H55:K55"/>
    <mergeCell ref="H60:K60"/>
    <mergeCell ref="H61:K61"/>
    <mergeCell ref="H62:K62"/>
    <mergeCell ref="H41:K41"/>
    <mergeCell ref="H46:K46"/>
    <mergeCell ref="H47:K47"/>
    <mergeCell ref="H50:K50"/>
    <mergeCell ref="H51:K51"/>
    <mergeCell ref="H52:K52"/>
  </mergeCells>
  <printOptions horizontalCentered="1"/>
  <pageMargins left="0.196850393700787" right="0.196850393700787" top="0.55118110236220497" bottom="0.27559055118110198" header="0.196850393700787" footer="0.47244094488188998"/>
  <pageSetup paperSize="9" scale="63" orientation="landscape" r:id="rId1"/>
  <headerFooter scaleWithDoc="0">
    <oddHeader>&amp;R&amp;"TH SarabunPSK,Regular"&amp;16&amp;P</oddHeader>
  </headerFooter>
  <rowBreaks count="2" manualBreakCount="2">
    <brk id="34" max="12" man="1"/>
    <brk id="54" max="12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N57"/>
  <sheetViews>
    <sheetView view="pageBreakPreview" zoomScaleNormal="90" zoomScaleSheetLayoutView="100" zoomScalePageLayoutView="50" workbookViewId="0">
      <selection activeCell="H8" sqref="H8:K8"/>
    </sheetView>
  </sheetViews>
  <sheetFormatPr defaultColWidth="9.140625" defaultRowHeight="21"/>
  <cols>
    <col min="1" max="1" width="38" style="292" customWidth="1"/>
    <col min="2" max="2" width="11.5703125" style="292" customWidth="1"/>
    <col min="3" max="3" width="9.85546875" style="292" customWidth="1"/>
    <col min="4" max="7" width="9.140625" style="292" customWidth="1"/>
    <col min="8" max="8" width="9.85546875" style="292" customWidth="1"/>
    <col min="9" max="9" width="16.140625" style="292" customWidth="1"/>
    <col min="10" max="10" width="16.5703125" style="292" customWidth="1"/>
    <col min="11" max="11" width="34.140625" style="292" customWidth="1"/>
    <col min="12" max="12" width="11.140625" style="429" customWidth="1"/>
    <col min="13" max="13" width="11.140625" style="292" customWidth="1"/>
    <col min="14" max="16" width="9.140625" style="292"/>
    <col min="17" max="17" width="12.42578125" style="292" bestFit="1" customWidth="1"/>
    <col min="18" max="20" width="11.5703125" style="292" bestFit="1" customWidth="1"/>
    <col min="21" max="21" width="9.140625" style="292"/>
    <col min="22" max="30" width="11.5703125" style="292" bestFit="1" customWidth="1"/>
    <col min="31" max="31" width="17.85546875" style="292" customWidth="1"/>
    <col min="32" max="32" width="9.140625" style="292" bestFit="1" customWidth="1"/>
    <col min="33" max="33" width="11.140625" style="292" bestFit="1" customWidth="1"/>
    <col min="34" max="35" width="9.140625" style="292"/>
    <col min="36" max="36" width="86.140625" style="292" bestFit="1" customWidth="1"/>
    <col min="37" max="37" width="19.140625" style="292" bestFit="1" customWidth="1"/>
    <col min="38" max="38" width="15" style="292" bestFit="1" customWidth="1"/>
    <col min="39" max="39" width="10.42578125" style="292" bestFit="1" customWidth="1"/>
    <col min="40" max="16384" width="9.140625" style="292"/>
  </cols>
  <sheetData>
    <row r="1" spans="1:40" ht="24" customHeight="1">
      <c r="A1" s="728" t="s">
        <v>0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  <c r="L1" s="729"/>
      <c r="M1" s="729"/>
    </row>
    <row r="2" spans="1:40" ht="24" customHeight="1">
      <c r="A2" s="728" t="s">
        <v>279</v>
      </c>
      <c r="B2" s="729"/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</row>
    <row r="3" spans="1:40" ht="24" customHeight="1">
      <c r="A3" s="293" t="s">
        <v>373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427"/>
      <c r="M3" s="295" t="s">
        <v>237</v>
      </c>
    </row>
    <row r="4" spans="1:40" s="298" customFormat="1" ht="24" customHeight="1">
      <c r="A4" s="296" t="s">
        <v>1</v>
      </c>
      <c r="B4" s="296" t="s">
        <v>2</v>
      </c>
      <c r="C4" s="730" t="s">
        <v>3</v>
      </c>
      <c r="D4" s="730"/>
      <c r="E4" s="730"/>
      <c r="F4" s="730"/>
      <c r="G4" s="730"/>
      <c r="H4" s="731" t="s">
        <v>4</v>
      </c>
      <c r="I4" s="732"/>
      <c r="J4" s="732"/>
      <c r="K4" s="733"/>
      <c r="L4" s="737" t="s">
        <v>5</v>
      </c>
      <c r="M4" s="297" t="s">
        <v>6</v>
      </c>
    </row>
    <row r="5" spans="1:40" s="298" customFormat="1" ht="24" customHeight="1">
      <c r="A5" s="299" t="s">
        <v>7</v>
      </c>
      <c r="B5" s="299" t="s">
        <v>8</v>
      </c>
      <c r="C5" s="300">
        <v>1</v>
      </c>
      <c r="D5" s="300">
        <v>2</v>
      </c>
      <c r="E5" s="300">
        <v>3</v>
      </c>
      <c r="F5" s="300">
        <v>4</v>
      </c>
      <c r="G5" s="300">
        <v>5</v>
      </c>
      <c r="H5" s="734"/>
      <c r="I5" s="735"/>
      <c r="J5" s="735"/>
      <c r="K5" s="736"/>
      <c r="L5" s="737"/>
      <c r="M5" s="301" t="s">
        <v>9</v>
      </c>
    </row>
    <row r="6" spans="1:40" ht="24" customHeight="1">
      <c r="A6" s="448" t="s">
        <v>159</v>
      </c>
      <c r="B6" s="302">
        <v>5.45</v>
      </c>
      <c r="C6" s="470">
        <v>0.65</v>
      </c>
      <c r="D6" s="470">
        <v>0.7</v>
      </c>
      <c r="E6" s="470">
        <v>0.75</v>
      </c>
      <c r="F6" s="470">
        <v>0.8</v>
      </c>
      <c r="G6" s="470">
        <v>0.85</v>
      </c>
      <c r="H6" s="703" t="s">
        <v>203</v>
      </c>
      <c r="I6" s="704"/>
      <c r="J6" s="704"/>
      <c r="K6" s="705"/>
      <c r="L6" s="303">
        <v>4.8520000000000003</v>
      </c>
      <c r="M6" s="451">
        <f>IF(L6=0,"-",ROUND(L6*B6/B$48,4))</f>
        <v>0.51919999999999999</v>
      </c>
    </row>
    <row r="7" spans="1:40" ht="24" customHeight="1">
      <c r="A7" s="452" t="s">
        <v>144</v>
      </c>
      <c r="B7" s="459"/>
      <c r="C7" s="460"/>
      <c r="D7" s="460"/>
      <c r="E7" s="460"/>
      <c r="F7" s="460"/>
      <c r="G7" s="460"/>
      <c r="H7" s="700" t="s">
        <v>365</v>
      </c>
      <c r="I7" s="701"/>
      <c r="J7" s="701"/>
      <c r="K7" s="702"/>
      <c r="L7" s="456"/>
      <c r="M7" s="457"/>
      <c r="N7" s="298" t="s">
        <v>238</v>
      </c>
      <c r="O7" s="317" t="s">
        <v>164</v>
      </c>
      <c r="P7" s="298" t="s">
        <v>165</v>
      </c>
      <c r="Q7" s="298" t="s">
        <v>166</v>
      </c>
      <c r="R7" s="317" t="s">
        <v>167</v>
      </c>
      <c r="S7" s="317" t="s">
        <v>168</v>
      </c>
      <c r="T7" s="317" t="s">
        <v>169</v>
      </c>
      <c r="U7" s="317" t="s">
        <v>170</v>
      </c>
      <c r="V7" s="317" t="s">
        <v>171</v>
      </c>
      <c r="W7" s="298" t="s">
        <v>172</v>
      </c>
      <c r="X7" s="317" t="s">
        <v>173</v>
      </c>
      <c r="Y7" s="317" t="s">
        <v>174</v>
      </c>
      <c r="Z7" s="298" t="s">
        <v>175</v>
      </c>
      <c r="AA7" s="317" t="s">
        <v>176</v>
      </c>
      <c r="AB7" s="317" t="s">
        <v>178</v>
      </c>
      <c r="AC7" s="298" t="s">
        <v>192</v>
      </c>
      <c r="AD7" s="298" t="s">
        <v>239</v>
      </c>
      <c r="AE7" s="298" t="s">
        <v>240</v>
      </c>
    </row>
    <row r="8" spans="1:40" ht="24" customHeight="1">
      <c r="A8" s="452"/>
      <c r="B8" s="459"/>
      <c r="C8" s="460"/>
      <c r="D8" s="460"/>
      <c r="E8" s="460"/>
      <c r="F8" s="460"/>
      <c r="G8" s="460"/>
      <c r="H8" s="700" t="s">
        <v>204</v>
      </c>
      <c r="I8" s="701"/>
      <c r="J8" s="701"/>
      <c r="K8" s="702"/>
      <c r="L8" s="456"/>
      <c r="M8" s="457"/>
      <c r="AI8" s="318" t="s">
        <v>241</v>
      </c>
      <c r="AJ8" s="319" t="s">
        <v>14</v>
      </c>
      <c r="AK8" s="320" t="s">
        <v>242</v>
      </c>
      <c r="AL8" s="321" t="s">
        <v>243</v>
      </c>
      <c r="AM8" s="322"/>
      <c r="AN8" s="322" t="s">
        <v>244</v>
      </c>
    </row>
    <row r="9" spans="1:40" ht="24" customHeight="1">
      <c r="A9" s="452"/>
      <c r="B9" s="459"/>
      <c r="C9" s="460"/>
      <c r="D9" s="460"/>
      <c r="E9" s="460"/>
      <c r="F9" s="460"/>
      <c r="G9" s="460"/>
      <c r="H9" s="700" t="s">
        <v>205</v>
      </c>
      <c r="I9" s="701"/>
      <c r="J9" s="701"/>
      <c r="K9" s="702"/>
      <c r="L9" s="456"/>
      <c r="M9" s="457"/>
      <c r="N9" s="323">
        <f>SUM(O9:AB9)</f>
        <v>2754.9592476500002</v>
      </c>
      <c r="O9" s="324">
        <v>63.05</v>
      </c>
      <c r="P9" s="324">
        <v>363.36509999999998</v>
      </c>
      <c r="Q9" s="324">
        <v>157.61449099999999</v>
      </c>
      <c r="R9" s="324">
        <v>122.296868</v>
      </c>
      <c r="S9" s="324"/>
      <c r="T9" s="324">
        <v>687.09411299999999</v>
      </c>
      <c r="U9" s="325">
        <v>432.493359</v>
      </c>
      <c r="V9" s="324"/>
      <c r="W9" s="324">
        <v>567.82270000000005</v>
      </c>
      <c r="X9" s="324">
        <v>128.228759</v>
      </c>
      <c r="Y9" s="324">
        <v>39.988</v>
      </c>
      <c r="AA9" s="326">
        <v>103.4341</v>
      </c>
      <c r="AB9" s="324">
        <v>89.571757649999995</v>
      </c>
      <c r="AC9" s="292">
        <f>SUM(O9:AB9)</f>
        <v>2754.9592476500002</v>
      </c>
      <c r="AE9" s="292">
        <f>AC9</f>
        <v>2754.9592476500002</v>
      </c>
      <c r="AI9" s="327">
        <v>1</v>
      </c>
      <c r="AJ9" s="328" t="s">
        <v>245</v>
      </c>
      <c r="AK9" s="329">
        <v>172677500</v>
      </c>
      <c r="AL9" s="330">
        <v>13.36</v>
      </c>
      <c r="AM9" s="331" t="e">
        <f>AL9*AK9/#REF!</f>
        <v>#REF!</v>
      </c>
      <c r="AN9" s="331">
        <f>AL9*AK9/AK9</f>
        <v>13.36</v>
      </c>
    </row>
    <row r="10" spans="1:40" ht="24" customHeight="1">
      <c r="A10" s="452"/>
      <c r="B10" s="459"/>
      <c r="C10" s="460"/>
      <c r="D10" s="460"/>
      <c r="E10" s="460"/>
      <c r="F10" s="460"/>
      <c r="G10" s="460"/>
      <c r="I10" s="471" t="s">
        <v>54</v>
      </c>
      <c r="J10" s="472">
        <v>84.26</v>
      </c>
      <c r="K10" s="551" t="s">
        <v>51</v>
      </c>
      <c r="L10" s="456"/>
      <c r="M10" s="457"/>
      <c r="N10" s="292">
        <f>(O10*O9+P10*P9+Q10*Q9+R10*R9+S10*S9+T10*T9+U10*U9+V10*V9+W10*W9+X10*X9+Y10*Y9+Z10*Z9+AA10*AA9+AB10*AB9)/N9</f>
        <v>84.754654906071266</v>
      </c>
      <c r="O10" s="324">
        <v>100</v>
      </c>
      <c r="P10" s="324">
        <v>63.46</v>
      </c>
      <c r="Q10" s="324">
        <v>51.39</v>
      </c>
      <c r="R10" s="324">
        <v>100</v>
      </c>
      <c r="S10" s="324"/>
      <c r="T10" s="324">
        <v>100</v>
      </c>
      <c r="U10" s="324">
        <v>98.85</v>
      </c>
      <c r="V10" s="324"/>
      <c r="W10" s="332">
        <v>77.599999999999994</v>
      </c>
      <c r="X10" s="324">
        <v>66.87</v>
      </c>
      <c r="Y10" s="324">
        <v>100</v>
      </c>
      <c r="AA10" s="324">
        <v>71.75</v>
      </c>
      <c r="AB10" s="324">
        <v>92.47</v>
      </c>
      <c r="AC10" s="333">
        <f>J10</f>
        <v>84.26</v>
      </c>
      <c r="AE10" s="333">
        <f>J10</f>
        <v>84.26</v>
      </c>
      <c r="AI10" s="327">
        <v>2</v>
      </c>
      <c r="AJ10" s="328" t="s">
        <v>246</v>
      </c>
      <c r="AK10" s="329">
        <v>525283600</v>
      </c>
      <c r="AL10" s="330">
        <v>35.229999999999997</v>
      </c>
      <c r="AM10" s="331" t="e">
        <f>AL10*AK10/#REF!</f>
        <v>#REF!</v>
      </c>
      <c r="AN10" s="331">
        <f t="shared" ref="AN10" si="0">(AL10*AK10/AK10)</f>
        <v>35.229999999999997</v>
      </c>
    </row>
    <row r="11" spans="1:40" ht="24" customHeight="1">
      <c r="A11" s="473"/>
      <c r="B11" s="474"/>
      <c r="C11" s="475"/>
      <c r="D11" s="475"/>
      <c r="E11" s="475"/>
      <c r="F11" s="475"/>
      <c r="G11" s="475"/>
      <c r="H11" s="719"/>
      <c r="I11" s="707"/>
      <c r="J11" s="707"/>
      <c r="K11" s="708"/>
      <c r="L11" s="476"/>
      <c r="M11" s="299"/>
      <c r="AE11" s="292" t="s">
        <v>20</v>
      </c>
      <c r="AI11" s="327"/>
      <c r="AJ11" s="328" t="s">
        <v>247</v>
      </c>
      <c r="AK11" s="329">
        <v>63771100</v>
      </c>
      <c r="AL11" s="330">
        <v>0.28000000000000003</v>
      </c>
      <c r="AM11" s="331" t="e">
        <f>AL11*AK11/#REF!</f>
        <v>#REF!</v>
      </c>
      <c r="AN11" s="331"/>
    </row>
    <row r="12" spans="1:40" ht="24" customHeight="1">
      <c r="A12" s="448" t="s">
        <v>146</v>
      </c>
      <c r="B12" s="302">
        <v>5.45</v>
      </c>
      <c r="C12" s="481">
        <v>0.92</v>
      </c>
      <c r="D12" s="481">
        <v>0.94</v>
      </c>
      <c r="E12" s="481">
        <v>0.96</v>
      </c>
      <c r="F12" s="481">
        <v>0.98</v>
      </c>
      <c r="G12" s="481">
        <v>1</v>
      </c>
      <c r="H12" s="703" t="s">
        <v>209</v>
      </c>
      <c r="I12" s="704"/>
      <c r="J12" s="704"/>
      <c r="K12" s="705"/>
      <c r="L12" s="303">
        <v>4.3849999999999998</v>
      </c>
      <c r="M12" s="451">
        <f>IF(L12=0,"-",ROUND(L12*B12/B$48,4))</f>
        <v>0.46920000000000001</v>
      </c>
      <c r="S12" s="292">
        <v>6516821</v>
      </c>
      <c r="AI12" s="327">
        <v>9</v>
      </c>
      <c r="AJ12" s="328" t="s">
        <v>253</v>
      </c>
      <c r="AK12" s="329">
        <v>189999700</v>
      </c>
      <c r="AL12" s="330">
        <v>3.53</v>
      </c>
      <c r="AM12" s="331" t="e">
        <f>AL12*AK12/#REF!</f>
        <v>#REF!</v>
      </c>
      <c r="AN12" s="331">
        <f>(AL12*AK12/(AK12+AK13+AK14))+(AL13*AK13/(AK12+AK13+AK14))+(AL14*AK14/(AK12+AK13+AK14))</f>
        <v>17.929695702793666</v>
      </c>
    </row>
    <row r="13" spans="1:40" ht="24" customHeight="1">
      <c r="A13" s="452" t="s">
        <v>23</v>
      </c>
      <c r="B13" s="459"/>
      <c r="C13" s="460"/>
      <c r="D13" s="460"/>
      <c r="E13" s="460"/>
      <c r="F13" s="460"/>
      <c r="G13" s="460"/>
      <c r="H13" s="700" t="s">
        <v>210</v>
      </c>
      <c r="I13" s="701"/>
      <c r="J13" s="701"/>
      <c r="K13" s="702"/>
      <c r="L13" s="456"/>
      <c r="M13" s="457"/>
      <c r="S13" s="292">
        <v>59800</v>
      </c>
      <c r="AI13" s="327"/>
      <c r="AJ13" s="328" t="s">
        <v>254</v>
      </c>
      <c r="AK13" s="329">
        <v>93741300</v>
      </c>
      <c r="AL13" s="330">
        <v>63.29</v>
      </c>
      <c r="AM13" s="331" t="e">
        <f>AL13*AK13/#REF!</f>
        <v>#REF!</v>
      </c>
      <c r="AN13" s="331"/>
    </row>
    <row r="14" spans="1:40" ht="24" customHeight="1">
      <c r="A14" s="452" t="s">
        <v>24</v>
      </c>
      <c r="B14" s="459"/>
      <c r="C14" s="460"/>
      <c r="D14" s="460"/>
      <c r="E14" s="460"/>
      <c r="F14" s="460"/>
      <c r="G14" s="460"/>
      <c r="H14" s="700" t="s">
        <v>208</v>
      </c>
      <c r="I14" s="701"/>
      <c r="J14" s="701"/>
      <c r="K14" s="702"/>
      <c r="L14" s="456"/>
      <c r="M14" s="457"/>
      <c r="S14" s="292">
        <v>709266</v>
      </c>
      <c r="AI14" s="327"/>
      <c r="AJ14" s="328" t="s">
        <v>255</v>
      </c>
      <c r="AK14" s="329">
        <v>84563400</v>
      </c>
      <c r="AL14" s="330">
        <v>0</v>
      </c>
      <c r="AM14" s="331" t="e">
        <f>AL14*AK14/#REF!</f>
        <v>#REF!</v>
      </c>
      <c r="AN14" s="331"/>
    </row>
    <row r="15" spans="1:40" ht="24" customHeight="1">
      <c r="A15" s="452"/>
      <c r="B15" s="459"/>
      <c r="C15" s="460"/>
      <c r="D15" s="460"/>
      <c r="E15" s="460"/>
      <c r="F15" s="460"/>
      <c r="G15" s="460"/>
      <c r="H15" s="549"/>
      <c r="I15" s="471" t="s">
        <v>56</v>
      </c>
      <c r="J15" s="472">
        <v>98.77</v>
      </c>
      <c r="K15" s="551" t="s">
        <v>51</v>
      </c>
      <c r="L15" s="456"/>
      <c r="M15" s="457"/>
      <c r="S15" s="292">
        <v>10951834</v>
      </c>
      <c r="W15" s="292">
        <v>304044</v>
      </c>
      <c r="X15" s="292">
        <v>12443540</v>
      </c>
      <c r="Z15" s="292">
        <v>12690293</v>
      </c>
      <c r="AD15" s="292">
        <v>16191016</v>
      </c>
      <c r="AI15" s="327">
        <v>10</v>
      </c>
      <c r="AJ15" s="328" t="s">
        <v>256</v>
      </c>
      <c r="AK15" s="329">
        <v>305794900</v>
      </c>
      <c r="AL15" s="330">
        <v>18.23</v>
      </c>
      <c r="AM15" s="331" t="e">
        <f>AL15*AK15/#REF!</f>
        <v>#REF!</v>
      </c>
      <c r="AN15" s="331">
        <f>(AL15*AK15/AK15)</f>
        <v>18.23</v>
      </c>
    </row>
    <row r="16" spans="1:40" ht="24" customHeight="1">
      <c r="A16" s="452"/>
      <c r="B16" s="459"/>
      <c r="C16" s="460"/>
      <c r="D16" s="460"/>
      <c r="E16" s="460"/>
      <c r="F16" s="460"/>
      <c r="G16" s="460"/>
      <c r="H16" s="483"/>
      <c r="I16" s="484"/>
      <c r="J16" s="484"/>
      <c r="K16" s="485"/>
      <c r="L16" s="456"/>
      <c r="M16" s="457"/>
      <c r="AI16" s="327"/>
      <c r="AJ16" s="328" t="s">
        <v>257</v>
      </c>
      <c r="AK16" s="329">
        <v>391412000</v>
      </c>
      <c r="AL16" s="330">
        <v>0</v>
      </c>
      <c r="AM16" s="331" t="e">
        <f>AL16*AK16/#REF!</f>
        <v>#REF!</v>
      </c>
      <c r="AN16" s="331"/>
    </row>
    <row r="17" spans="1:40" ht="24" customHeight="1">
      <c r="A17" s="448" t="s">
        <v>160</v>
      </c>
      <c r="B17" s="302">
        <v>5.45</v>
      </c>
      <c r="C17" s="481">
        <v>0.5</v>
      </c>
      <c r="D17" s="481">
        <v>0.75</v>
      </c>
      <c r="E17" s="481">
        <v>1</v>
      </c>
      <c r="F17" s="481">
        <v>1</v>
      </c>
      <c r="G17" s="481">
        <v>1</v>
      </c>
      <c r="H17" s="703" t="s">
        <v>280</v>
      </c>
      <c r="I17" s="704"/>
      <c r="J17" s="704"/>
      <c r="K17" s="705"/>
      <c r="L17" s="303">
        <v>1</v>
      </c>
      <c r="M17" s="451">
        <f>IF(L17=0,"-",ROUND(L17*B17/B$48,4))</f>
        <v>0.107</v>
      </c>
      <c r="AI17" s="327">
        <v>9</v>
      </c>
      <c r="AJ17" s="328" t="s">
        <v>271</v>
      </c>
      <c r="AK17" s="329">
        <v>300000</v>
      </c>
      <c r="AL17" s="350">
        <v>0</v>
      </c>
      <c r="AM17" s="351"/>
      <c r="AN17" s="351">
        <f t="shared" ref="AN17:AN27" si="1">AL17*100/AK17</f>
        <v>0</v>
      </c>
    </row>
    <row r="18" spans="1:40" ht="24" customHeight="1">
      <c r="A18" s="452" t="s">
        <v>161</v>
      </c>
      <c r="B18" s="453"/>
      <c r="C18" s="487"/>
      <c r="D18" s="487"/>
      <c r="E18" s="487"/>
      <c r="F18" s="487" t="s">
        <v>70</v>
      </c>
      <c r="G18" s="487" t="s">
        <v>70</v>
      </c>
      <c r="H18" s="701" t="s">
        <v>213</v>
      </c>
      <c r="I18" s="701"/>
      <c r="J18" s="701"/>
      <c r="K18" s="702"/>
      <c r="L18" s="456"/>
      <c r="M18" s="457"/>
      <c r="AI18" s="327">
        <v>11</v>
      </c>
      <c r="AJ18" s="328" t="s">
        <v>273</v>
      </c>
      <c r="AK18" s="329">
        <v>500000</v>
      </c>
      <c r="AL18" s="350">
        <v>62536.11</v>
      </c>
      <c r="AM18" s="351"/>
      <c r="AN18" s="351">
        <f t="shared" si="1"/>
        <v>12.507222000000001</v>
      </c>
    </row>
    <row r="19" spans="1:40" ht="24" customHeight="1">
      <c r="A19" s="452" t="s">
        <v>310</v>
      </c>
      <c r="B19" s="453"/>
      <c r="C19" s="487"/>
      <c r="D19" s="487"/>
      <c r="E19" s="487"/>
      <c r="F19" s="487" t="s">
        <v>138</v>
      </c>
      <c r="G19" s="487" t="s">
        <v>139</v>
      </c>
      <c r="H19" s="557" t="s">
        <v>200</v>
      </c>
      <c r="I19" s="471" t="s">
        <v>56</v>
      </c>
      <c r="J19" s="472">
        <v>0</v>
      </c>
      <c r="K19" s="551" t="s">
        <v>51</v>
      </c>
      <c r="L19" s="456"/>
      <c r="M19" s="457"/>
      <c r="AI19" s="327"/>
      <c r="AJ19" s="328" t="s">
        <v>275</v>
      </c>
      <c r="AK19" s="329">
        <v>300000</v>
      </c>
      <c r="AL19" s="350">
        <v>57903.85</v>
      </c>
      <c r="AM19" s="351"/>
      <c r="AN19" s="351">
        <f t="shared" si="1"/>
        <v>19.301283333333334</v>
      </c>
    </row>
    <row r="20" spans="1:40" ht="24" customHeight="1">
      <c r="A20" s="473"/>
      <c r="B20" s="474"/>
      <c r="C20" s="475"/>
      <c r="D20" s="475"/>
      <c r="E20" s="475"/>
      <c r="F20" s="475"/>
      <c r="G20" s="475"/>
      <c r="H20" s="706"/>
      <c r="I20" s="709"/>
      <c r="J20" s="709"/>
      <c r="K20" s="710"/>
      <c r="L20" s="476"/>
      <c r="M20" s="299"/>
      <c r="AI20" s="327"/>
      <c r="AJ20" s="328" t="s">
        <v>276</v>
      </c>
      <c r="AK20" s="329">
        <v>300000</v>
      </c>
      <c r="AL20" s="350">
        <v>94848.7</v>
      </c>
      <c r="AM20" s="351"/>
      <c r="AN20" s="351">
        <f t="shared" si="1"/>
        <v>31.616233333333334</v>
      </c>
    </row>
    <row r="21" spans="1:40" ht="24" customHeight="1">
      <c r="A21" s="448" t="s">
        <v>149</v>
      </c>
      <c r="B21" s="302">
        <v>16.36</v>
      </c>
      <c r="C21" s="481">
        <v>0.75</v>
      </c>
      <c r="D21" s="481">
        <v>0.78</v>
      </c>
      <c r="E21" s="481">
        <v>0.81</v>
      </c>
      <c r="F21" s="481">
        <v>0.84</v>
      </c>
      <c r="G21" s="481">
        <v>0.87</v>
      </c>
      <c r="H21" s="703" t="s">
        <v>221</v>
      </c>
      <c r="I21" s="704"/>
      <c r="J21" s="704"/>
      <c r="K21" s="705"/>
      <c r="L21" s="303">
        <v>5</v>
      </c>
      <c r="M21" s="451">
        <f>IF(L21=0,"-",ROUND(L21*B21/B$48,4))</f>
        <v>1.6061000000000001</v>
      </c>
      <c r="AI21" s="327">
        <v>13</v>
      </c>
      <c r="AJ21" s="328" t="s">
        <v>281</v>
      </c>
      <c r="AK21" s="329">
        <v>300000</v>
      </c>
      <c r="AL21" s="350">
        <v>205897.2</v>
      </c>
      <c r="AM21" s="351"/>
      <c r="AN21" s="351">
        <f t="shared" si="1"/>
        <v>68.632400000000004</v>
      </c>
    </row>
    <row r="22" spans="1:40" ht="24" customHeight="1">
      <c r="A22" s="452" t="s">
        <v>137</v>
      </c>
      <c r="B22" s="459"/>
      <c r="C22" s="460"/>
      <c r="D22" s="460"/>
      <c r="E22" s="460"/>
      <c r="F22" s="460"/>
      <c r="G22" s="460"/>
      <c r="H22" s="700" t="s">
        <v>220</v>
      </c>
      <c r="I22" s="701"/>
      <c r="J22" s="701"/>
      <c r="K22" s="702"/>
      <c r="L22" s="456"/>
      <c r="M22" s="457"/>
      <c r="AI22" s="327"/>
      <c r="AJ22" s="328" t="s">
        <v>282</v>
      </c>
      <c r="AK22" s="329">
        <v>300000</v>
      </c>
      <c r="AL22" s="350">
        <v>100339.9</v>
      </c>
      <c r="AM22" s="351"/>
      <c r="AN22" s="351">
        <f t="shared" si="1"/>
        <v>33.446633333333331</v>
      </c>
    </row>
    <row r="23" spans="1:40" ht="24" customHeight="1">
      <c r="A23" s="452"/>
      <c r="B23" s="459"/>
      <c r="C23" s="460"/>
      <c r="D23" s="460"/>
      <c r="E23" s="460"/>
      <c r="F23" s="460"/>
      <c r="G23" s="460"/>
      <c r="H23" s="533"/>
      <c r="I23" s="533" t="s">
        <v>87</v>
      </c>
      <c r="J23" s="534">
        <v>4558671122</v>
      </c>
      <c r="K23" s="551" t="s">
        <v>163</v>
      </c>
      <c r="L23" s="456"/>
      <c r="M23" s="457"/>
      <c r="AI23" s="327"/>
      <c r="AJ23" s="328" t="s">
        <v>283</v>
      </c>
      <c r="AK23" s="329">
        <v>300000</v>
      </c>
      <c r="AL23" s="350">
        <v>57000</v>
      </c>
      <c r="AM23" s="351"/>
      <c r="AN23" s="351">
        <f t="shared" si="1"/>
        <v>19</v>
      </c>
    </row>
    <row r="24" spans="1:40" ht="24" customHeight="1">
      <c r="A24" s="452"/>
      <c r="B24" s="459"/>
      <c r="C24" s="460"/>
      <c r="D24" s="460"/>
      <c r="E24" s="460"/>
      <c r="F24" s="460"/>
      <c r="G24" s="460"/>
      <c r="H24" s="533"/>
      <c r="I24" s="471" t="s">
        <v>195</v>
      </c>
      <c r="J24" s="532">
        <v>4120438228</v>
      </c>
      <c r="K24" s="551" t="s">
        <v>163</v>
      </c>
      <c r="L24" s="456"/>
      <c r="M24" s="457"/>
      <c r="AI24" s="327"/>
      <c r="AJ24" s="328" t="s">
        <v>284</v>
      </c>
      <c r="AK24" s="329">
        <v>300000</v>
      </c>
      <c r="AL24" s="350">
        <v>54914.85</v>
      </c>
      <c r="AM24" s="351"/>
      <c r="AN24" s="351">
        <f t="shared" si="1"/>
        <v>18.304950000000002</v>
      </c>
    </row>
    <row r="25" spans="1:40" ht="24" customHeight="1">
      <c r="A25" s="452"/>
      <c r="B25" s="459"/>
      <c r="C25" s="460"/>
      <c r="D25" s="460"/>
      <c r="E25" s="460"/>
      <c r="F25" s="460"/>
      <c r="G25" s="460"/>
      <c r="H25" s="533"/>
      <c r="I25" s="471" t="s">
        <v>196</v>
      </c>
      <c r="J25" s="472">
        <v>90.39</v>
      </c>
      <c r="K25" s="551" t="s">
        <v>51</v>
      </c>
      <c r="L25" s="456"/>
      <c r="M25" s="457"/>
      <c r="AI25" s="327"/>
      <c r="AJ25" s="328" t="s">
        <v>285</v>
      </c>
      <c r="AK25" s="329">
        <v>300000</v>
      </c>
      <c r="AL25" s="350">
        <v>66279.649999999994</v>
      </c>
      <c r="AM25" s="351"/>
      <c r="AN25" s="351">
        <f t="shared" si="1"/>
        <v>22.093216666666663</v>
      </c>
    </row>
    <row r="26" spans="1:40" ht="24" customHeight="1">
      <c r="A26" s="473"/>
      <c r="B26" s="474"/>
      <c r="C26" s="475"/>
      <c r="D26" s="475"/>
      <c r="E26" s="475"/>
      <c r="F26" s="475"/>
      <c r="G26" s="475"/>
      <c r="H26" s="535"/>
      <c r="I26" s="554"/>
      <c r="J26" s="536"/>
      <c r="K26" s="555"/>
      <c r="L26" s="476"/>
      <c r="M26" s="299"/>
      <c r="AI26" s="327"/>
      <c r="AJ26" s="328" t="s">
        <v>286</v>
      </c>
      <c r="AK26" s="329">
        <v>500000</v>
      </c>
      <c r="AL26" s="350">
        <v>147338.20000000001</v>
      </c>
      <c r="AM26" s="351"/>
      <c r="AN26" s="351">
        <f t="shared" si="1"/>
        <v>29.467640000000003</v>
      </c>
    </row>
    <row r="27" spans="1:40" ht="24" customHeight="1">
      <c r="A27" s="448" t="s">
        <v>150</v>
      </c>
      <c r="B27" s="302">
        <v>1.87</v>
      </c>
      <c r="C27" s="481">
        <v>0.6</v>
      </c>
      <c r="D27" s="481">
        <v>0.65</v>
      </c>
      <c r="E27" s="481">
        <v>0.7</v>
      </c>
      <c r="F27" s="481">
        <v>0.75</v>
      </c>
      <c r="G27" s="481">
        <v>0.8</v>
      </c>
      <c r="H27" s="703" t="s">
        <v>222</v>
      </c>
      <c r="I27" s="704"/>
      <c r="J27" s="704"/>
      <c r="K27" s="705"/>
      <c r="L27" s="303">
        <v>5</v>
      </c>
      <c r="M27" s="451">
        <f>IF(L27=0,"-",ROUND(L27*B27/B$48,4))</f>
        <v>0.18360000000000001</v>
      </c>
      <c r="AI27" s="327"/>
      <c r="AJ27" s="328" t="s">
        <v>277</v>
      </c>
      <c r="AK27" s="329">
        <v>500000</v>
      </c>
      <c r="AL27" s="350">
        <v>150000</v>
      </c>
      <c r="AM27" s="351"/>
      <c r="AN27" s="351">
        <f t="shared" si="1"/>
        <v>30</v>
      </c>
    </row>
    <row r="28" spans="1:40" ht="24" customHeight="1">
      <c r="A28" s="452" t="s">
        <v>151</v>
      </c>
      <c r="B28" s="453"/>
      <c r="C28" s="537"/>
      <c r="D28" s="537"/>
      <c r="E28" s="537"/>
      <c r="F28" s="537"/>
      <c r="G28" s="537"/>
      <c r="H28" s="700" t="s">
        <v>223</v>
      </c>
      <c r="I28" s="701"/>
      <c r="J28" s="701"/>
      <c r="K28" s="702"/>
      <c r="L28" s="456"/>
      <c r="M28" s="457"/>
      <c r="AI28" s="327"/>
      <c r="AJ28" s="328"/>
      <c r="AK28" s="329" t="e">
        <f>#REF!+#REF!+#REF!+#REF!+#REF!+AK17+AK18+AK19+#REF!+AK20+AK21+AK22+AK23+AK24+AK25+AK26+AK27</f>
        <v>#REF!</v>
      </c>
      <c r="AL28" s="350" t="e">
        <f>#REF!+#REF!+#REF!+#REF!+#REF!+AL17+AL18+AL19+#REF!+AL20+AL21+AL22+AL23+AL24+AL25+AL26+AL27</f>
        <v>#REF!</v>
      </c>
      <c r="AM28" s="351"/>
      <c r="AN28" s="351" t="e">
        <f>AL28*100/AK28</f>
        <v>#REF!</v>
      </c>
    </row>
    <row r="29" spans="1:40" ht="24" customHeight="1">
      <c r="A29" s="452" t="s">
        <v>91</v>
      </c>
      <c r="B29" s="459"/>
      <c r="C29" s="460"/>
      <c r="D29" s="460"/>
      <c r="E29" s="460"/>
      <c r="F29" s="460"/>
      <c r="G29" s="460"/>
      <c r="H29" s="700" t="s">
        <v>224</v>
      </c>
      <c r="I29" s="701"/>
      <c r="J29" s="701"/>
      <c r="K29" s="702"/>
      <c r="L29" s="456"/>
      <c r="M29" s="457"/>
    </row>
    <row r="30" spans="1:40" ht="24" customHeight="1">
      <c r="A30" s="452"/>
      <c r="B30" s="459"/>
      <c r="C30" s="460"/>
      <c r="D30" s="460"/>
      <c r="E30" s="460"/>
      <c r="F30" s="460"/>
      <c r="G30" s="460"/>
      <c r="H30" s="557"/>
      <c r="I30" s="471" t="s">
        <v>97</v>
      </c>
      <c r="J30" s="532">
        <v>271</v>
      </c>
      <c r="K30" s="558" t="s">
        <v>96</v>
      </c>
      <c r="L30" s="456"/>
      <c r="M30" s="457"/>
    </row>
    <row r="31" spans="1:40" ht="24" customHeight="1">
      <c r="A31" s="452"/>
      <c r="B31" s="459"/>
      <c r="C31" s="460"/>
      <c r="D31" s="460"/>
      <c r="E31" s="460"/>
      <c r="F31" s="460"/>
      <c r="G31" s="460"/>
      <c r="H31" s="557"/>
      <c r="I31" s="471" t="s">
        <v>98</v>
      </c>
      <c r="J31" s="532">
        <v>271</v>
      </c>
      <c r="K31" s="558" t="s">
        <v>96</v>
      </c>
      <c r="L31" s="456"/>
      <c r="M31" s="457"/>
    </row>
    <row r="32" spans="1:40" ht="24" customHeight="1">
      <c r="A32" s="452"/>
      <c r="B32" s="459"/>
      <c r="C32" s="460"/>
      <c r="D32" s="460"/>
      <c r="E32" s="460"/>
      <c r="F32" s="460"/>
      <c r="G32" s="460"/>
      <c r="H32" s="549"/>
      <c r="I32" s="471" t="s">
        <v>35</v>
      </c>
      <c r="J32" s="486">
        <f>ROUND(J31*100/J30,2)</f>
        <v>100</v>
      </c>
      <c r="K32" s="551" t="s">
        <v>51</v>
      </c>
      <c r="L32" s="456"/>
      <c r="M32" s="457"/>
    </row>
    <row r="33" spans="1:34" ht="24" customHeight="1">
      <c r="A33" s="473"/>
      <c r="B33" s="474"/>
      <c r="C33" s="475"/>
      <c r="D33" s="475"/>
      <c r="E33" s="475"/>
      <c r="F33" s="475"/>
      <c r="G33" s="475"/>
      <c r="H33" s="538"/>
      <c r="I33" s="488"/>
      <c r="J33" s="488"/>
      <c r="K33" s="556"/>
      <c r="L33" s="476"/>
      <c r="M33" s="299"/>
    </row>
    <row r="34" spans="1:34" ht="24" customHeight="1">
      <c r="A34" s="489" t="s">
        <v>152</v>
      </c>
      <c r="B34" s="490">
        <v>5.45</v>
      </c>
      <c r="C34" s="491">
        <v>0.65</v>
      </c>
      <c r="D34" s="491">
        <v>0.7</v>
      </c>
      <c r="E34" s="491">
        <v>0.75</v>
      </c>
      <c r="F34" s="491">
        <v>0.8</v>
      </c>
      <c r="G34" s="491">
        <v>0.85</v>
      </c>
      <c r="H34" s="703" t="s">
        <v>225</v>
      </c>
      <c r="I34" s="704"/>
      <c r="J34" s="704"/>
      <c r="K34" s="705"/>
      <c r="L34" s="303">
        <v>4.7939999999999996</v>
      </c>
      <c r="M34" s="451">
        <f>IF(L34=0,"-",ROUND(L34*B34/B$48,4))</f>
        <v>0.51300000000000001</v>
      </c>
    </row>
    <row r="35" spans="1:34" ht="24" customHeight="1">
      <c r="A35" s="452" t="s">
        <v>153</v>
      </c>
      <c r="B35" s="459"/>
      <c r="C35" s="460"/>
      <c r="D35" s="460"/>
      <c r="E35" s="460"/>
      <c r="F35" s="460"/>
      <c r="G35" s="460"/>
      <c r="H35" s="700" t="s">
        <v>226</v>
      </c>
      <c r="I35" s="701"/>
      <c r="J35" s="701"/>
      <c r="K35" s="702"/>
      <c r="L35" s="456"/>
      <c r="M35" s="457"/>
    </row>
    <row r="36" spans="1:34" ht="24" customHeight="1">
      <c r="A36" s="492" t="s">
        <v>162</v>
      </c>
      <c r="B36" s="459"/>
      <c r="C36" s="460"/>
      <c r="D36" s="460"/>
      <c r="E36" s="460"/>
      <c r="F36" s="460"/>
      <c r="G36" s="460"/>
      <c r="H36" s="557" t="s">
        <v>200</v>
      </c>
      <c r="I36" s="493" t="s">
        <v>113</v>
      </c>
      <c r="J36" s="486">
        <v>83.97</v>
      </c>
      <c r="K36" s="551" t="s">
        <v>51</v>
      </c>
      <c r="L36" s="456"/>
      <c r="M36" s="457"/>
    </row>
    <row r="37" spans="1:34" ht="24" customHeight="1">
      <c r="A37" s="452"/>
      <c r="B37" s="459"/>
      <c r="C37" s="460"/>
      <c r="D37" s="460"/>
      <c r="E37" s="460"/>
      <c r="F37" s="460"/>
      <c r="G37" s="494"/>
      <c r="H37" s="495"/>
      <c r="I37" s="495"/>
      <c r="J37" s="495"/>
      <c r="K37" s="495"/>
      <c r="L37" s="456"/>
      <c r="M37" s="457"/>
    </row>
    <row r="38" spans="1:34" ht="24" customHeight="1">
      <c r="A38" s="448" t="s">
        <v>154</v>
      </c>
      <c r="B38" s="490">
        <v>5.45</v>
      </c>
      <c r="C38" s="496" t="s">
        <v>29</v>
      </c>
      <c r="D38" s="496" t="s">
        <v>30</v>
      </c>
      <c r="E38" s="496" t="s">
        <v>31</v>
      </c>
      <c r="F38" s="496" t="s">
        <v>32</v>
      </c>
      <c r="G38" s="496" t="s">
        <v>33</v>
      </c>
      <c r="H38" s="703" t="s">
        <v>227</v>
      </c>
      <c r="I38" s="704"/>
      <c r="J38" s="704"/>
      <c r="K38" s="705"/>
      <c r="L38" s="303">
        <v>5</v>
      </c>
      <c r="M38" s="451">
        <f>IF(L38=0,"-",ROUND(L38*B38/B$48,4))</f>
        <v>0.53500000000000003</v>
      </c>
    </row>
    <row r="39" spans="1:34" ht="24" customHeight="1">
      <c r="A39" s="452" t="s">
        <v>107</v>
      </c>
      <c r="B39" s="459"/>
      <c r="C39" s="497">
        <v>1.5</v>
      </c>
      <c r="D39" s="497">
        <v>2</v>
      </c>
      <c r="E39" s="497">
        <v>2.5</v>
      </c>
      <c r="F39" s="497">
        <v>3</v>
      </c>
      <c r="G39" s="497">
        <v>5</v>
      </c>
      <c r="H39" s="700" t="s">
        <v>228</v>
      </c>
      <c r="I39" s="701"/>
      <c r="J39" s="701"/>
      <c r="K39" s="702"/>
      <c r="L39" s="456"/>
      <c r="M39" s="457"/>
    </row>
    <row r="40" spans="1:34" ht="24" customHeight="1">
      <c r="A40" s="452" t="s">
        <v>310</v>
      </c>
      <c r="B40" s="459"/>
      <c r="C40" s="494"/>
      <c r="D40" s="494"/>
      <c r="E40" s="494"/>
      <c r="F40" s="494"/>
      <c r="G40" s="494"/>
      <c r="H40" s="700" t="s">
        <v>213</v>
      </c>
      <c r="I40" s="701"/>
      <c r="J40" s="701"/>
      <c r="K40" s="702"/>
      <c r="L40" s="456"/>
      <c r="M40" s="457"/>
    </row>
    <row r="41" spans="1:34" ht="24" customHeight="1">
      <c r="A41" s="452"/>
      <c r="B41" s="459"/>
      <c r="C41" s="494"/>
      <c r="D41" s="494"/>
      <c r="E41" s="494"/>
      <c r="F41" s="494"/>
      <c r="G41" s="494"/>
      <c r="H41" s="549"/>
      <c r="I41" s="471" t="s">
        <v>112</v>
      </c>
      <c r="J41" s="472">
        <v>100</v>
      </c>
      <c r="K41" s="558"/>
      <c r="L41" s="456"/>
      <c r="M41" s="457"/>
    </row>
    <row r="42" spans="1:34" ht="24" customHeight="1">
      <c r="A42" s="473"/>
      <c r="B42" s="474"/>
      <c r="C42" s="475"/>
      <c r="D42" s="475"/>
      <c r="E42" s="475"/>
      <c r="F42" s="475"/>
      <c r="G42" s="475"/>
      <c r="H42" s="477"/>
      <c r="I42" s="554"/>
      <c r="J42" s="554"/>
      <c r="K42" s="555"/>
      <c r="L42" s="476"/>
      <c r="M42" s="299"/>
    </row>
    <row r="43" spans="1:34" ht="24" customHeight="1">
      <c r="A43" s="539" t="s">
        <v>155</v>
      </c>
      <c r="B43" s="490">
        <v>5.45</v>
      </c>
      <c r="C43" s="491">
        <v>0.1</v>
      </c>
      <c r="D43" s="491">
        <v>0.3</v>
      </c>
      <c r="E43" s="491">
        <v>0.5</v>
      </c>
      <c r="F43" s="491">
        <v>0.7</v>
      </c>
      <c r="G43" s="491">
        <v>1</v>
      </c>
      <c r="H43" s="738" t="s">
        <v>316</v>
      </c>
      <c r="I43" s="739"/>
      <c r="J43" s="739"/>
      <c r="K43" s="740"/>
      <c r="L43" s="303">
        <f>ROUND(4+((J46-70)*1/30),4)</f>
        <v>5</v>
      </c>
      <c r="M43" s="451">
        <f>IF(L43=0,"-",ROUND(L43*B43/B$48,4))</f>
        <v>0.53500000000000003</v>
      </c>
      <c r="Q43" s="292" t="s">
        <v>164</v>
      </c>
      <c r="R43" s="292" t="s">
        <v>165</v>
      </c>
      <c r="S43" s="292" t="s">
        <v>166</v>
      </c>
      <c r="T43" s="292" t="s">
        <v>180</v>
      </c>
      <c r="U43" s="292" t="s">
        <v>181</v>
      </c>
      <c r="V43" s="292" t="s">
        <v>278</v>
      </c>
      <c r="W43" s="292" t="s">
        <v>183</v>
      </c>
      <c r="X43" s="292" t="s">
        <v>184</v>
      </c>
      <c r="Y43" s="292" t="s">
        <v>185</v>
      </c>
      <c r="Z43" s="292" t="s">
        <v>186</v>
      </c>
      <c r="AA43" s="292" t="s">
        <v>187</v>
      </c>
      <c r="AB43" s="292" t="s">
        <v>188</v>
      </c>
      <c r="AC43" s="292" t="s">
        <v>189</v>
      </c>
      <c r="AD43" s="292" t="s">
        <v>190</v>
      </c>
      <c r="AE43" s="292" t="s">
        <v>191</v>
      </c>
      <c r="AF43" s="292" t="s">
        <v>192</v>
      </c>
      <c r="AG43" s="292" t="s">
        <v>193</v>
      </c>
      <c r="AH43" s="292" t="s">
        <v>20</v>
      </c>
    </row>
    <row r="44" spans="1:34" ht="24" customHeight="1">
      <c r="A44" s="541" t="s">
        <v>197</v>
      </c>
      <c r="B44" s="542"/>
      <c r="C44" s="460"/>
      <c r="D44" s="460"/>
      <c r="E44" s="460"/>
      <c r="F44" s="460"/>
      <c r="G44" s="482"/>
      <c r="H44" s="560" t="s">
        <v>317</v>
      </c>
      <c r="I44" s="501"/>
      <c r="J44" s="581"/>
      <c r="K44" s="582"/>
      <c r="L44" s="458"/>
      <c r="M44" s="457"/>
      <c r="Q44" s="292">
        <v>82</v>
      </c>
      <c r="R44" s="292">
        <v>100</v>
      </c>
      <c r="S44" s="292">
        <v>0</v>
      </c>
      <c r="T44" s="292">
        <v>82</v>
      </c>
      <c r="U44" s="292">
        <v>72</v>
      </c>
      <c r="V44" s="292">
        <v>81</v>
      </c>
      <c r="W44" s="292">
        <v>95</v>
      </c>
      <c r="X44" s="292">
        <v>72</v>
      </c>
      <c r="Y44" s="292">
        <v>80</v>
      </c>
      <c r="Z44" s="292">
        <v>76</v>
      </c>
      <c r="AA44" s="292">
        <v>76</v>
      </c>
      <c r="AB44" s="292">
        <v>86</v>
      </c>
      <c r="AC44" s="292">
        <v>76</v>
      </c>
      <c r="AD44" s="292">
        <v>70</v>
      </c>
      <c r="AE44" s="292">
        <v>100</v>
      </c>
      <c r="AF44" s="292">
        <v>72</v>
      </c>
      <c r="AG44" s="292">
        <v>95</v>
      </c>
      <c r="AH44" s="315">
        <f>(Q44+R44+S44+T44+U44+V44+W44+X44+Y44+Z44+AA44+AB44+AC44+AD44+AE44+AF44+AG44)/17</f>
        <v>77.352941176470594</v>
      </c>
    </row>
    <row r="45" spans="1:34" ht="24" customHeight="1">
      <c r="A45" s="452" t="s">
        <v>310</v>
      </c>
      <c r="B45" s="542"/>
      <c r="C45" s="460"/>
      <c r="D45" s="460"/>
      <c r="E45" s="460"/>
      <c r="F45" s="460"/>
      <c r="G45" s="460"/>
      <c r="H45" s="561" t="s">
        <v>231</v>
      </c>
      <c r="I45" s="501"/>
      <c r="J45" s="581"/>
      <c r="K45" s="582"/>
      <c r="L45" s="458"/>
      <c r="M45" s="457"/>
    </row>
    <row r="46" spans="1:34" ht="24" customHeight="1">
      <c r="A46" s="541"/>
      <c r="B46" s="542"/>
      <c r="C46" s="460"/>
      <c r="D46" s="460"/>
      <c r="E46" s="460"/>
      <c r="F46" s="460"/>
      <c r="G46" s="460"/>
      <c r="H46" s="560"/>
      <c r="I46" s="400" t="s">
        <v>114</v>
      </c>
      <c r="J46" s="545">
        <v>100</v>
      </c>
      <c r="K46" s="558" t="s">
        <v>51</v>
      </c>
      <c r="L46" s="458"/>
      <c r="M46" s="457"/>
      <c r="P46" s="305"/>
    </row>
    <row r="47" spans="1:34" ht="24" customHeight="1">
      <c r="A47" s="546"/>
      <c r="B47" s="547"/>
      <c r="C47" s="475"/>
      <c r="D47" s="475"/>
      <c r="E47" s="475"/>
      <c r="F47" s="475"/>
      <c r="G47" s="475"/>
      <c r="H47" s="478"/>
      <c r="I47" s="554"/>
      <c r="J47" s="554"/>
      <c r="K47" s="555"/>
      <c r="L47" s="548"/>
      <c r="M47" s="299"/>
    </row>
    <row r="48" spans="1:34" ht="24" customHeight="1">
      <c r="A48" s="309"/>
      <c r="B48" s="310">
        <f>SUM(B6:B47)</f>
        <v>50.930000000000007</v>
      </c>
      <c r="C48" s="311"/>
      <c r="D48" s="311"/>
      <c r="E48" s="311"/>
      <c r="F48" s="311"/>
      <c r="G48" s="312"/>
      <c r="H48" s="311"/>
      <c r="I48" s="311"/>
      <c r="J48" s="311"/>
      <c r="K48" s="311"/>
      <c r="L48" s="428" t="s">
        <v>140</v>
      </c>
      <c r="M48" s="316">
        <f>SUM(M6:M47)</f>
        <v>4.4681000000000006</v>
      </c>
      <c r="O48" s="307"/>
      <c r="P48" s="307"/>
      <c r="Q48" s="307"/>
      <c r="R48" s="307"/>
      <c r="S48" s="307"/>
      <c r="T48" s="307"/>
      <c r="U48" s="307"/>
      <c r="V48" s="307"/>
      <c r="W48" s="307"/>
      <c r="X48" s="307"/>
      <c r="Y48" s="307"/>
      <c r="Z48" s="307"/>
      <c r="AA48" s="307"/>
      <c r="AB48" s="307"/>
      <c r="AC48" s="307"/>
      <c r="AD48" s="307"/>
      <c r="AE48" s="307"/>
      <c r="AF48" s="307"/>
    </row>
    <row r="49" spans="1:32" ht="24" customHeight="1">
      <c r="O49" s="307"/>
      <c r="P49" s="307"/>
      <c r="Q49" s="307"/>
      <c r="R49" s="307"/>
      <c r="S49" s="307"/>
      <c r="T49" s="307"/>
      <c r="U49" s="307"/>
      <c r="V49" s="308"/>
      <c r="W49" s="307"/>
      <c r="X49" s="307"/>
      <c r="Y49" s="307"/>
      <c r="Z49" s="307"/>
      <c r="AA49" s="307"/>
      <c r="AB49" s="307"/>
      <c r="AC49" s="307"/>
      <c r="AD49" s="307"/>
      <c r="AE49" s="307"/>
      <c r="AF49" s="307"/>
    </row>
    <row r="50" spans="1:32" ht="24" customHeight="1">
      <c r="A50" s="314"/>
    </row>
    <row r="51" spans="1:32" ht="24" customHeight="1"/>
    <row r="52" spans="1:32" ht="24" customHeight="1"/>
    <row r="53" spans="1:32" ht="24" customHeight="1"/>
    <row r="54" spans="1:32" ht="24" customHeight="1"/>
    <row r="55" spans="1:32" ht="24" customHeight="1"/>
    <row r="56" spans="1:32" ht="24" customHeight="1"/>
    <row r="57" spans="1:32" ht="24" customHeight="1"/>
  </sheetData>
  <mergeCells count="27">
    <mergeCell ref="H6:K6"/>
    <mergeCell ref="A1:M1"/>
    <mergeCell ref="A2:M2"/>
    <mergeCell ref="C4:G4"/>
    <mergeCell ref="H4:K5"/>
    <mergeCell ref="L4:L5"/>
    <mergeCell ref="H22:K22"/>
    <mergeCell ref="H7:K7"/>
    <mergeCell ref="H8:K8"/>
    <mergeCell ref="H9:K9"/>
    <mergeCell ref="H11:K11"/>
    <mergeCell ref="H12:K12"/>
    <mergeCell ref="H13:K13"/>
    <mergeCell ref="H14:K14"/>
    <mergeCell ref="H17:K17"/>
    <mergeCell ref="H18:K18"/>
    <mergeCell ref="H20:K20"/>
    <mergeCell ref="H21:K21"/>
    <mergeCell ref="H39:K39"/>
    <mergeCell ref="H40:K40"/>
    <mergeCell ref="H43:K43"/>
    <mergeCell ref="H27:K27"/>
    <mergeCell ref="H28:K28"/>
    <mergeCell ref="H29:K29"/>
    <mergeCell ref="H34:K34"/>
    <mergeCell ref="H35:K35"/>
    <mergeCell ref="H38:K38"/>
  </mergeCells>
  <printOptions horizontalCentered="1"/>
  <pageMargins left="0.196850393700787" right="0.196850393700787" top="0.55118110236220497" bottom="0.27559055118110198" header="0.196850393700787" footer="0.47244094488188998"/>
  <pageSetup paperSize="9" scale="68" orientation="landscape" r:id="rId1"/>
  <headerFooter scaleWithDoc="0">
    <oddHeader>&amp;R&amp;"TH SarabunPSK,Regular"&amp;16&amp;P</oddHeader>
  </headerFooter>
  <rowBreaks count="2" manualBreakCount="2">
    <brk id="20" max="12" man="1"/>
    <brk id="37" max="1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24</vt:i4>
      </vt:variant>
      <vt:variant>
        <vt:lpstr>ช่วงที่มีชื่อ</vt:lpstr>
      </vt:variant>
      <vt:variant>
        <vt:i4>39</vt:i4>
      </vt:variant>
    </vt:vector>
  </HeadingPairs>
  <TitlesOfParts>
    <vt:vector size="63" baseType="lpstr">
      <vt:lpstr>รอบ 6 เดือน</vt:lpstr>
      <vt:lpstr>รอบ 7 เดือน</vt:lpstr>
      <vt:lpstr>รอบ 8 เดือน</vt:lpstr>
      <vt:lpstr>รอบ 9 เดือน</vt:lpstr>
      <vt:lpstr>รอบ 10 เดือน</vt:lpstr>
      <vt:lpstr>รอบ 11 เดือน </vt:lpstr>
      <vt:lpstr>รวม</vt:lpstr>
      <vt:lpstr>1.ผตป.พญ.</vt:lpstr>
      <vt:lpstr>2.ผวศ.พญ.</vt:lpstr>
      <vt:lpstr>3.ฝบท.พญ.</vt:lpstr>
      <vt:lpstr>4.ผสญ.1</vt:lpstr>
      <vt:lpstr>5.ผสญ.2</vt:lpstr>
      <vt:lpstr>6.ผสญ.3</vt:lpstr>
      <vt:lpstr>7.ผสญ.4</vt:lpstr>
      <vt:lpstr>8.ผสญ.5</vt:lpstr>
      <vt:lpstr>9.ผสญ.6</vt:lpstr>
      <vt:lpstr>10.ผสญ.7</vt:lpstr>
      <vt:lpstr>11.ผสญ.8</vt:lpstr>
      <vt:lpstr>12.ผสญ.9</vt:lpstr>
      <vt:lpstr>13.ผสญ.10</vt:lpstr>
      <vt:lpstr>14.ผสญ.11</vt:lpstr>
      <vt:lpstr>15.ผสญ.12</vt:lpstr>
      <vt:lpstr>16.ผสญ.13</vt:lpstr>
      <vt:lpstr>Sheet4</vt:lpstr>
      <vt:lpstr>'1.ผตป.พญ.'!Print_Area</vt:lpstr>
      <vt:lpstr>'10.ผสญ.7'!Print_Area</vt:lpstr>
      <vt:lpstr>'11.ผสญ.8'!Print_Area</vt:lpstr>
      <vt:lpstr>'12.ผสญ.9'!Print_Area</vt:lpstr>
      <vt:lpstr>'13.ผสญ.10'!Print_Area</vt:lpstr>
      <vt:lpstr>'14.ผสญ.11'!Print_Area</vt:lpstr>
      <vt:lpstr>'15.ผสญ.12'!Print_Area</vt:lpstr>
      <vt:lpstr>'16.ผสญ.13'!Print_Area</vt:lpstr>
      <vt:lpstr>'2.ผวศ.พญ.'!Print_Area</vt:lpstr>
      <vt:lpstr>'3.ฝบท.พญ.'!Print_Area</vt:lpstr>
      <vt:lpstr>'4.ผสญ.1'!Print_Area</vt:lpstr>
      <vt:lpstr>'5.ผสญ.2'!Print_Area</vt:lpstr>
      <vt:lpstr>'6.ผสญ.3'!Print_Area</vt:lpstr>
      <vt:lpstr>'8.ผสญ.5'!Print_Area</vt:lpstr>
      <vt:lpstr>'9.ผสญ.6'!Print_Area</vt:lpstr>
      <vt:lpstr>รวม!Print_Area</vt:lpstr>
      <vt:lpstr>'1.ผตป.พญ.'!Print_Titles</vt:lpstr>
      <vt:lpstr>'10.ผสญ.7'!Print_Titles</vt:lpstr>
      <vt:lpstr>'11.ผสญ.8'!Print_Titles</vt:lpstr>
      <vt:lpstr>'12.ผสญ.9'!Print_Titles</vt:lpstr>
      <vt:lpstr>'13.ผสญ.10'!Print_Titles</vt:lpstr>
      <vt:lpstr>'14.ผสญ.11'!Print_Titles</vt:lpstr>
      <vt:lpstr>'15.ผสญ.12'!Print_Titles</vt:lpstr>
      <vt:lpstr>'16.ผสญ.13'!Print_Titles</vt:lpstr>
      <vt:lpstr>'2.ผวศ.พญ.'!Print_Titles</vt:lpstr>
      <vt:lpstr>'3.ฝบท.พญ.'!Print_Titles</vt:lpstr>
      <vt:lpstr>'4.ผสญ.1'!Print_Titles</vt:lpstr>
      <vt:lpstr>'5.ผสญ.2'!Print_Titles</vt:lpstr>
      <vt:lpstr>'6.ผสญ.3'!Print_Titles</vt:lpstr>
      <vt:lpstr>'7.ผสญ.4'!Print_Titles</vt:lpstr>
      <vt:lpstr>'8.ผสญ.5'!Print_Titles</vt:lpstr>
      <vt:lpstr>'9.ผสญ.6'!Print_Titles</vt:lpstr>
      <vt:lpstr>รวม!Print_Titles</vt:lpstr>
      <vt:lpstr>'รอบ 10 เดือน'!Print_Titles</vt:lpstr>
      <vt:lpstr>'รอบ 11 เดือน '!Print_Titles</vt:lpstr>
      <vt:lpstr>'รอบ 6 เดือน'!Print_Titles</vt:lpstr>
      <vt:lpstr>'รอบ 7 เดือน'!Print_Titles</vt:lpstr>
      <vt:lpstr>'รอบ 8 เดือน'!Print_Titles</vt:lpstr>
      <vt:lpstr>'รอบ 9 เดือน'!Print_Titles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KK</cp:lastModifiedBy>
  <cp:lastPrinted>2015-10-15T04:09:28Z</cp:lastPrinted>
  <dcterms:created xsi:type="dcterms:W3CDTF">2013-03-19T03:55:17Z</dcterms:created>
  <dcterms:modified xsi:type="dcterms:W3CDTF">2015-11-09T10:08:46Z</dcterms:modified>
</cp:coreProperties>
</file>