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Archive Scan\scan-konica\"/>
    </mc:Choice>
  </mc:AlternateContent>
  <bookViews>
    <workbookView xWindow="120" yWindow="90" windowWidth="15120" windowHeight="8100" tabRatio="852" firstSheet="6" activeTab="6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สพญ." sheetId="15" r:id="rId7"/>
    <sheet name="ส่วนวิศวกรรม" sheetId="18" r:id="rId8"/>
    <sheet name="ส่วนติดตามและประเมินผล" sheetId="17" r:id="rId9"/>
    <sheet name="ฝ่ายบริหาร" sheetId="19" r:id="rId10"/>
    <sheet name="สพญ.1" sheetId="16" r:id="rId11"/>
    <sheet name="สพญ.2" sheetId="20" r:id="rId12"/>
    <sheet name="สพญ.3" sheetId="21" r:id="rId13"/>
    <sheet name="สพญ.4" sheetId="22" r:id="rId14"/>
    <sheet name="สพญ.5" sheetId="23" r:id="rId15"/>
    <sheet name="สพญ.6" sheetId="24" r:id="rId16"/>
    <sheet name="สพญ.7" sheetId="25" r:id="rId17"/>
    <sheet name="สพญ.8" sheetId="26" r:id="rId18"/>
    <sheet name="สพญ.9" sheetId="27" r:id="rId19"/>
    <sheet name="สพญ.10" sheetId="28" r:id="rId20"/>
    <sheet name="สพญ.11" sheetId="29" r:id="rId21"/>
    <sheet name="สพญ.12" sheetId="30" r:id="rId22"/>
    <sheet name="สพญ.13" sheetId="31" r:id="rId23"/>
    <sheet name="เรียงคะแนน" sheetId="32" r:id="rId24"/>
    <sheet name="รายงานวิจัย" sheetId="33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9">ฝ่ายบริหาร!$A$1:$M$43</definedName>
    <definedName name="_xlnm.Print_Area" localSheetId="6">สพญ.!$A$1:$M$102</definedName>
    <definedName name="_xlnm.Print_Area" localSheetId="10">สพญ.1!$A$1:$M$81</definedName>
    <definedName name="_xlnm.Print_Area" localSheetId="19">สพญ.10!$A$1:$M$75</definedName>
    <definedName name="_xlnm.Print_Area" localSheetId="20">สพญ.11!$A$1:$M$90</definedName>
    <definedName name="_xlnm.Print_Area" localSheetId="21">สพญ.12!$A$1:$M$83</definedName>
    <definedName name="_xlnm.Print_Area" localSheetId="22">สพญ.13!$A$1:$M$82</definedName>
    <definedName name="_xlnm.Print_Area" localSheetId="11">สพญ.2!$A$1:$M$80</definedName>
    <definedName name="_xlnm.Print_Area" localSheetId="12">สพญ.3!$A$1:$M$77</definedName>
    <definedName name="_xlnm.Print_Area" localSheetId="13">สพญ.4!$A$1:$M$77</definedName>
    <definedName name="_xlnm.Print_Area" localSheetId="14">สพญ.5!$A$1:$M$83</definedName>
    <definedName name="_xlnm.Print_Area" localSheetId="15">สพญ.6!$A$1:$M$84</definedName>
    <definedName name="_xlnm.Print_Area" localSheetId="16">สพญ.7!$A$1:$M$77</definedName>
    <definedName name="_xlnm.Print_Area" localSheetId="17">สพญ.8!$A$1:$M$83</definedName>
    <definedName name="_xlnm.Print_Area" localSheetId="18">สพญ.9!$A$1:$M$82</definedName>
    <definedName name="_xlnm.Print_Area" localSheetId="8">ส่วนติดตามและประเมินผล!$A$1:$M$99</definedName>
    <definedName name="_xlnm.Print_Area" localSheetId="7">ส่วนวิศวกรรม!$A$1:$M$82</definedName>
    <definedName name="_xlnm.Print_Titles" localSheetId="9">ฝ่ายบริหาร!$4:$5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_xlnm.Print_Titles" localSheetId="6">สพญ.!$4:$5</definedName>
    <definedName name="_xlnm.Print_Titles" localSheetId="10">สพญ.1!$4:$5</definedName>
    <definedName name="_xlnm.Print_Titles" localSheetId="19">สพญ.10!$4:$5</definedName>
    <definedName name="_xlnm.Print_Titles" localSheetId="20">สพญ.11!$4:$5</definedName>
    <definedName name="_xlnm.Print_Titles" localSheetId="21">สพญ.12!$4:$5</definedName>
    <definedName name="_xlnm.Print_Titles" localSheetId="22">สพญ.13!$4:$5</definedName>
    <definedName name="_xlnm.Print_Titles" localSheetId="11">สพญ.2!$4:$5</definedName>
    <definedName name="_xlnm.Print_Titles" localSheetId="12">สพญ.3!$4:$5</definedName>
    <definedName name="_xlnm.Print_Titles" localSheetId="13">สพญ.4!$4:$5</definedName>
    <definedName name="_xlnm.Print_Titles" localSheetId="14">สพญ.5!$4:$5</definedName>
    <definedName name="_xlnm.Print_Titles" localSheetId="15">สพญ.6!$4:$5</definedName>
    <definedName name="_xlnm.Print_Titles" localSheetId="16">สพญ.7!$4:$5</definedName>
    <definedName name="_xlnm.Print_Titles" localSheetId="17">สพญ.8!$4:$5</definedName>
    <definedName name="_xlnm.Print_Titles" localSheetId="18">สพญ.9!$4:$5</definedName>
    <definedName name="_xlnm.Print_Titles" localSheetId="8">ส่วนติดตามและประเมินผล!$4:$5</definedName>
    <definedName name="_xlnm.Print_Titles" localSheetId="7">ส่วนวิศวกรรม!$4:$5</definedName>
    <definedName name="Z_ED89CF83_5DE1_46A5_8666_D9B25B932357_.wvu.PrintTitles" localSheetId="9" hidden="1">ฝ่ายบริหาร!$4:$5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  <definedName name="Z_ED89CF83_5DE1_46A5_8666_D9B25B932357_.wvu.PrintTitles" localSheetId="6" hidden="1">สพญ.!$4:$5</definedName>
    <definedName name="Z_ED89CF83_5DE1_46A5_8666_D9B25B932357_.wvu.PrintTitles" localSheetId="10" hidden="1">สพญ.1!$4:$5</definedName>
    <definedName name="Z_ED89CF83_5DE1_46A5_8666_D9B25B932357_.wvu.PrintTitles" localSheetId="19" hidden="1">สพญ.10!$4:$5</definedName>
    <definedName name="Z_ED89CF83_5DE1_46A5_8666_D9B25B932357_.wvu.PrintTitles" localSheetId="20" hidden="1">สพญ.11!$4:$5</definedName>
    <definedName name="Z_ED89CF83_5DE1_46A5_8666_D9B25B932357_.wvu.PrintTitles" localSheetId="21" hidden="1">สพญ.12!$4:$5</definedName>
    <definedName name="Z_ED89CF83_5DE1_46A5_8666_D9B25B932357_.wvu.PrintTitles" localSheetId="22" hidden="1">สพญ.13!$4:$5</definedName>
    <definedName name="Z_ED89CF83_5DE1_46A5_8666_D9B25B932357_.wvu.PrintTitles" localSheetId="11" hidden="1">สพญ.2!$4:$5</definedName>
    <definedName name="Z_ED89CF83_5DE1_46A5_8666_D9B25B932357_.wvu.PrintTitles" localSheetId="12" hidden="1">สพญ.3!$4:$5</definedName>
    <definedName name="Z_ED89CF83_5DE1_46A5_8666_D9B25B932357_.wvu.PrintTitles" localSheetId="13" hidden="1">สพญ.4!$4:$5</definedName>
    <definedName name="Z_ED89CF83_5DE1_46A5_8666_D9B25B932357_.wvu.PrintTitles" localSheetId="14" hidden="1">สพญ.5!$4:$5</definedName>
    <definedName name="Z_ED89CF83_5DE1_46A5_8666_D9B25B932357_.wvu.PrintTitles" localSheetId="15" hidden="1">สพญ.6!$4:$5</definedName>
    <definedName name="Z_ED89CF83_5DE1_46A5_8666_D9B25B932357_.wvu.PrintTitles" localSheetId="16" hidden="1">สพญ.7!$4:$5</definedName>
    <definedName name="Z_ED89CF83_5DE1_46A5_8666_D9B25B932357_.wvu.PrintTitles" localSheetId="17" hidden="1">สพญ.8!$4:$5</definedName>
    <definedName name="Z_ED89CF83_5DE1_46A5_8666_D9B25B932357_.wvu.PrintTitles" localSheetId="18" hidden="1">สพญ.9!$4:$5</definedName>
    <definedName name="Z_ED89CF83_5DE1_46A5_8666_D9B25B932357_.wvu.PrintTitles" localSheetId="8" hidden="1">ส่วนติดตามและประเมินผล!$4:$5</definedName>
    <definedName name="Z_ED89CF83_5DE1_46A5_8666_D9B25B932357_.wvu.PrintTitles" localSheetId="7" hidden="1">ส่วนวิศวกรรม!$4:$5</definedName>
  </definedNames>
  <calcPr calcId="152511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N17" i="15" l="1"/>
  <c r="N14" i="15"/>
  <c r="O14" i="15" s="1"/>
  <c r="K17" i="15" s="1"/>
  <c r="Q15" i="27"/>
  <c r="Q16" i="27" s="1"/>
  <c r="K8" i="27" l="1"/>
  <c r="K17" i="17"/>
  <c r="J36" i="31"/>
  <c r="J35" i="31"/>
  <c r="AB21" i="27" l="1"/>
  <c r="V13" i="25"/>
  <c r="W20" i="23" l="1"/>
  <c r="R31" i="15"/>
  <c r="S31" i="15" s="1"/>
  <c r="W22" i="21"/>
  <c r="Y14" i="21"/>
  <c r="N87" i="17"/>
  <c r="N70" i="18"/>
  <c r="S21" i="29"/>
  <c r="S20" i="29"/>
  <c r="W41" i="15" l="1"/>
  <c r="N16" i="16" l="1"/>
  <c r="Q13" i="16"/>
  <c r="P13" i="16"/>
  <c r="J30" i="21" l="1"/>
  <c r="J31" i="21"/>
  <c r="O16" i="16"/>
  <c r="L13" i="16" s="1"/>
  <c r="J36" i="16" l="1"/>
  <c r="J35" i="16"/>
  <c r="J34" i="16"/>
  <c r="J33" i="16"/>
  <c r="B82" i="31" l="1"/>
  <c r="B83" i="30"/>
  <c r="B90" i="29"/>
  <c r="B75" i="28"/>
  <c r="B82" i="27"/>
  <c r="B83" i="26"/>
  <c r="B77" i="25"/>
  <c r="B84" i="24"/>
  <c r="B83" i="23"/>
  <c r="B77" i="22"/>
  <c r="R22" i="27" l="1"/>
  <c r="R21" i="27"/>
  <c r="R20" i="27"/>
  <c r="R19" i="27"/>
  <c r="Q22" i="27"/>
  <c r="Q27" i="27" s="1"/>
  <c r="Q21" i="27"/>
  <c r="Q26" i="27" s="1"/>
  <c r="Q20" i="27"/>
  <c r="Q19" i="27"/>
  <c r="J47" i="18" l="1"/>
  <c r="J46" i="18"/>
  <c r="M19" i="32" l="1"/>
  <c r="R13" i="22"/>
  <c r="P13" i="22"/>
  <c r="M30" i="32"/>
  <c r="M26" i="32"/>
  <c r="M23" i="32"/>
  <c r="M22" i="32"/>
  <c r="M20" i="32"/>
  <c r="M18" i="32"/>
  <c r="R13" i="30" l="1"/>
  <c r="Q13" i="30"/>
  <c r="R15" i="29" l="1"/>
  <c r="R14" i="29"/>
  <c r="R13" i="29"/>
  <c r="Q15" i="29"/>
  <c r="Q14" i="29"/>
  <c r="Q13" i="29"/>
  <c r="R22" i="29"/>
  <c r="R21" i="29"/>
  <c r="R20" i="29"/>
  <c r="Q21" i="29"/>
  <c r="Q20" i="29"/>
  <c r="R27" i="29"/>
  <c r="Q27" i="29"/>
  <c r="Q16" i="29" l="1"/>
  <c r="Q17" i="29"/>
  <c r="Q23" i="29"/>
  <c r="Q24" i="29" s="1"/>
  <c r="W22" i="20" l="1"/>
  <c r="R22" i="28"/>
  <c r="Q22" i="28"/>
  <c r="R21" i="28"/>
  <c r="Q21" i="28"/>
  <c r="R20" i="28"/>
  <c r="Q20" i="28"/>
  <c r="R14" i="28"/>
  <c r="Q14" i="28"/>
  <c r="R13" i="28"/>
  <c r="Q13" i="28"/>
  <c r="V13" i="26"/>
  <c r="T13" i="26"/>
  <c r="AC20" i="26"/>
  <c r="N64" i="25" l="1"/>
  <c r="O70" i="26"/>
  <c r="N69" i="27"/>
  <c r="J66" i="31"/>
  <c r="N64" i="31" s="1"/>
  <c r="J67" i="30"/>
  <c r="J74" i="29"/>
  <c r="J59" i="28"/>
  <c r="J66" i="27"/>
  <c r="J67" i="26"/>
  <c r="J61" i="25"/>
  <c r="P57" i="25" s="1"/>
  <c r="J68" i="24"/>
  <c r="O64" i="24" s="1"/>
  <c r="J67" i="23"/>
  <c r="O63" i="23" s="1"/>
  <c r="J61" i="22"/>
  <c r="O57" i="22" s="1"/>
  <c r="P57" i="22" s="1"/>
  <c r="L56" i="22" s="1"/>
  <c r="J61" i="21"/>
  <c r="J64" i="20"/>
  <c r="O60" i="20" s="1"/>
  <c r="P60" i="20" s="1"/>
  <c r="L59" i="20" s="1"/>
  <c r="J65" i="16"/>
  <c r="O61" i="16" s="1"/>
  <c r="P61" i="16" s="1"/>
  <c r="L60" i="16" s="1"/>
  <c r="J34" i="19"/>
  <c r="N30" i="19" s="1"/>
  <c r="O30" i="19" s="1"/>
  <c r="L29" i="19" s="1"/>
  <c r="J83" i="17"/>
  <c r="O79" i="17" s="1"/>
  <c r="P79" i="17" s="1"/>
  <c r="L78" i="17" s="1"/>
  <c r="J66" i="18"/>
  <c r="N63" i="18" s="1"/>
  <c r="O63" i="18" s="1"/>
  <c r="L61" i="18" s="1"/>
  <c r="S101" i="15"/>
  <c r="J89" i="15" s="1"/>
  <c r="O85" i="15" s="1"/>
  <c r="Y15" i="21"/>
  <c r="X15" i="21"/>
  <c r="X14" i="21"/>
  <c r="Y13" i="21"/>
  <c r="X13" i="21"/>
  <c r="U16" i="24"/>
  <c r="U23" i="24" s="1"/>
  <c r="U15" i="24"/>
  <c r="U14" i="24"/>
  <c r="U22" i="24" s="1"/>
  <c r="U13" i="24"/>
  <c r="U21" i="24" s="1"/>
  <c r="V16" i="24"/>
  <c r="V15" i="24"/>
  <c r="V14" i="24"/>
  <c r="V13" i="24"/>
  <c r="V29" i="24"/>
  <c r="V28" i="24"/>
  <c r="V27" i="24"/>
  <c r="V28" i="23"/>
  <c r="V27" i="23"/>
  <c r="V26" i="23"/>
  <c r="X28" i="20"/>
  <c r="R24" i="16"/>
  <c r="X16" i="21" l="1"/>
  <c r="Y16" i="21" s="1"/>
  <c r="V29" i="23"/>
  <c r="B18" i="32" l="1"/>
  <c r="B17" i="32"/>
  <c r="B16" i="32"/>
  <c r="B15" i="32"/>
  <c r="B14" i="32"/>
  <c r="B13" i="32"/>
  <c r="B12" i="32"/>
  <c r="B11" i="32"/>
  <c r="B10" i="32"/>
  <c r="B9" i="32"/>
  <c r="M50" i="31" l="1"/>
  <c r="O64" i="31"/>
  <c r="L61" i="31" s="1"/>
  <c r="M61" i="31" s="1"/>
  <c r="M55" i="31"/>
  <c r="J48" i="31"/>
  <c r="N47" i="31" s="1"/>
  <c r="M39" i="31"/>
  <c r="J37" i="31"/>
  <c r="O34" i="31"/>
  <c r="Q30" i="31"/>
  <c r="Q31" i="31" s="1"/>
  <c r="P30" i="31"/>
  <c r="R29" i="31"/>
  <c r="R28" i="31"/>
  <c r="R27" i="31"/>
  <c r="R26" i="31"/>
  <c r="R25" i="31"/>
  <c r="Q21" i="31"/>
  <c r="Q22" i="31" s="1"/>
  <c r="J23" i="31" s="1"/>
  <c r="N22" i="31" s="1"/>
  <c r="O22" i="31" s="1"/>
  <c r="L18" i="31" s="1"/>
  <c r="M18" i="31" s="1"/>
  <c r="M11" i="31"/>
  <c r="J10" i="31"/>
  <c r="M6" i="31"/>
  <c r="O47" i="31" l="1"/>
  <c r="M44" i="31" s="1"/>
  <c r="M15" i="32"/>
  <c r="J29" i="31"/>
  <c r="T26" i="31"/>
  <c r="U26" i="31" s="1"/>
  <c r="L25" i="31" s="1"/>
  <c r="M25" i="31" s="1"/>
  <c r="M68" i="31"/>
  <c r="M31" i="31"/>
  <c r="M75" i="31"/>
  <c r="M82" i="31" l="1"/>
  <c r="C18" i="32" s="1"/>
  <c r="D18" i="32" s="1"/>
  <c r="M56" i="30"/>
  <c r="N65" i="30"/>
  <c r="O65" i="30" s="1"/>
  <c r="L62" i="30" s="1"/>
  <c r="M62" i="30" s="1"/>
  <c r="J49" i="30"/>
  <c r="M45" i="30"/>
  <c r="J38" i="30"/>
  <c r="O30" i="30"/>
  <c r="R28" i="30"/>
  <c r="J30" i="30" s="1"/>
  <c r="M29" i="32" s="1"/>
  <c r="L26" i="30"/>
  <c r="M26" i="30" s="1"/>
  <c r="R21" i="30"/>
  <c r="Q21" i="30"/>
  <c r="J18" i="30"/>
  <c r="N16" i="30" s="1"/>
  <c r="O16" i="30" s="1"/>
  <c r="Q22" i="30" l="1"/>
  <c r="J24" i="30" s="1"/>
  <c r="N23" i="30" s="1"/>
  <c r="O23" i="30" s="1"/>
  <c r="L20" i="30" s="1"/>
  <c r="M20" i="30" s="1"/>
  <c r="N48" i="30"/>
  <c r="O48" i="30" s="1"/>
  <c r="M14" i="32"/>
  <c r="M69" i="30"/>
  <c r="M76" i="30"/>
  <c r="M51" i="30"/>
  <c r="M13" i="30"/>
  <c r="M40" i="30"/>
  <c r="M6" i="30"/>
  <c r="M32" i="30"/>
  <c r="M83" i="30" l="1"/>
  <c r="C17" i="32" s="1"/>
  <c r="D17" i="32" s="1"/>
  <c r="M83" i="29"/>
  <c r="M76" i="29"/>
  <c r="O71" i="29"/>
  <c r="M69" i="29"/>
  <c r="M63" i="29"/>
  <c r="M58" i="29"/>
  <c r="J56" i="29"/>
  <c r="N53" i="29" s="1"/>
  <c r="M47" i="29"/>
  <c r="J45" i="29"/>
  <c r="M39" i="29"/>
  <c r="Q35" i="29"/>
  <c r="J37" i="29" s="1"/>
  <c r="M28" i="32" s="1"/>
  <c r="L33" i="29"/>
  <c r="M33" i="29" s="1"/>
  <c r="S27" i="29"/>
  <c r="S28" i="29" s="1"/>
  <c r="J31" i="29" s="1"/>
  <c r="N29" i="29" s="1"/>
  <c r="O29" i="29" s="1"/>
  <c r="L27" i="29" s="1"/>
  <c r="M27" i="29" s="1"/>
  <c r="J18" i="29"/>
  <c r="N17" i="29" s="1"/>
  <c r="M6" i="29"/>
  <c r="O53" i="29" l="1"/>
  <c r="L52" i="29" s="1"/>
  <c r="M13" i="32"/>
  <c r="O17" i="29"/>
  <c r="M52" i="29" l="1"/>
  <c r="L13" i="29"/>
  <c r="M13" i="29" s="1"/>
  <c r="M68" i="28"/>
  <c r="M61" i="28"/>
  <c r="N57" i="28"/>
  <c r="O57" i="28" s="1"/>
  <c r="L54" i="28" s="1"/>
  <c r="M54" i="28" s="1"/>
  <c r="M48" i="28"/>
  <c r="M43" i="28"/>
  <c r="J41" i="28"/>
  <c r="M12" i="32" s="1"/>
  <c r="M37" i="28"/>
  <c r="M32" i="28"/>
  <c r="Q28" i="28"/>
  <c r="J30" i="28" s="1"/>
  <c r="R23" i="28"/>
  <c r="Q23" i="28"/>
  <c r="S22" i="28"/>
  <c r="S21" i="28"/>
  <c r="S20" i="28"/>
  <c r="Q15" i="28"/>
  <c r="Q16" i="28" s="1"/>
  <c r="J18" i="28" s="1"/>
  <c r="M6" i="28"/>
  <c r="M27" i="32" l="1"/>
  <c r="N30" i="28"/>
  <c r="O30" i="28" s="1"/>
  <c r="L26" i="28" s="1"/>
  <c r="M26" i="28" s="1"/>
  <c r="N16" i="28"/>
  <c r="O16" i="28" s="1"/>
  <c r="Q24" i="28"/>
  <c r="J24" i="28" s="1"/>
  <c r="N24" i="28" s="1"/>
  <c r="O24" i="28" s="1"/>
  <c r="L20" i="28" s="1"/>
  <c r="M20" i="28" s="1"/>
  <c r="M44" i="27"/>
  <c r="O69" i="27"/>
  <c r="L68" i="27" s="1"/>
  <c r="J48" i="27"/>
  <c r="M11" i="32" s="1"/>
  <c r="J37" i="27"/>
  <c r="N36" i="27" s="1"/>
  <c r="O36" i="27" s="1"/>
  <c r="L33" i="27" s="1"/>
  <c r="S34" i="27"/>
  <c r="Q28" i="27"/>
  <c r="R27" i="27"/>
  <c r="R26" i="27"/>
  <c r="Q23" i="27"/>
  <c r="Q24" i="27" s="1"/>
  <c r="J24" i="27" s="1"/>
  <c r="K11" i="27"/>
  <c r="J11" i="27"/>
  <c r="Q29" i="27" l="1"/>
  <c r="J31" i="27" s="1"/>
  <c r="N24" i="27"/>
  <c r="O24" i="27" s="1"/>
  <c r="L13" i="28"/>
  <c r="M13" i="28" s="1"/>
  <c r="M75" i="28" s="1"/>
  <c r="C15" i="32" s="1"/>
  <c r="D15" i="32" s="1"/>
  <c r="M33" i="27"/>
  <c r="M50" i="27"/>
  <c r="M55" i="27"/>
  <c r="M61" i="27"/>
  <c r="M68" i="27"/>
  <c r="M39" i="27"/>
  <c r="M75" i="27"/>
  <c r="M12" i="27"/>
  <c r="N29" i="27" l="1"/>
  <c r="O29" i="27" s="1"/>
  <c r="L26" i="27" s="1"/>
  <c r="M26" i="27" s="1"/>
  <c r="L19" i="27"/>
  <c r="M19" i="27" s="1"/>
  <c r="M51" i="26"/>
  <c r="P70" i="26"/>
  <c r="P63" i="26"/>
  <c r="M56" i="26"/>
  <c r="J49" i="26"/>
  <c r="M40" i="26"/>
  <c r="J38" i="26"/>
  <c r="P29" i="26"/>
  <c r="S28" i="26"/>
  <c r="J30" i="26" s="1"/>
  <c r="M25" i="32" s="1"/>
  <c r="AD20" i="26"/>
  <c r="J24" i="26" s="1"/>
  <c r="V14" i="26"/>
  <c r="V15" i="26" s="1"/>
  <c r="J18" i="26" s="1"/>
  <c r="T14" i="26"/>
  <c r="M10" i="32" l="1"/>
  <c r="O46" i="26"/>
  <c r="P46" i="26" s="1"/>
  <c r="M45" i="26" s="1"/>
  <c r="O22" i="26"/>
  <c r="P22" i="26" s="1"/>
  <c r="O15" i="26"/>
  <c r="P15" i="26" s="1"/>
  <c r="M62" i="26"/>
  <c r="M26" i="26"/>
  <c r="M69" i="26"/>
  <c r="M76" i="26"/>
  <c r="M32" i="26"/>
  <c r="L20" i="26" l="1"/>
  <c r="M20" i="26" s="1"/>
  <c r="L13" i="26"/>
  <c r="M13" i="26" s="1"/>
  <c r="M45" i="25" l="1"/>
  <c r="O64" i="25"/>
  <c r="L63" i="25" s="1"/>
  <c r="Q57" i="25"/>
  <c r="L56" i="25" s="1"/>
  <c r="M56" i="25" s="1"/>
  <c r="M50" i="25"/>
  <c r="J43" i="25"/>
  <c r="J32" i="25"/>
  <c r="M26" i="25"/>
  <c r="R22" i="25"/>
  <c r="J24" i="25" s="1"/>
  <c r="V14" i="25"/>
  <c r="V15" i="25" s="1"/>
  <c r="J18" i="25" s="1"/>
  <c r="O15" i="25" s="1"/>
  <c r="P15" i="25" s="1"/>
  <c r="L13" i="25" s="1"/>
  <c r="M13" i="25" s="1"/>
  <c r="U14" i="25"/>
  <c r="M24" i="32" l="1"/>
  <c r="O24" i="25"/>
  <c r="P24" i="25" s="1"/>
  <c r="L20" i="25" s="1"/>
  <c r="M20" i="25" s="1"/>
  <c r="M9" i="32"/>
  <c r="O40" i="25"/>
  <c r="P40" i="25" s="1"/>
  <c r="M34" i="25"/>
  <c r="M63" i="25"/>
  <c r="M39" i="25"/>
  <c r="M70" i="25"/>
  <c r="M57" i="24" l="1"/>
  <c r="M77" i="24"/>
  <c r="M70" i="24"/>
  <c r="P64" i="24"/>
  <c r="L63" i="24" s="1"/>
  <c r="M63" i="24" s="1"/>
  <c r="M52" i="24"/>
  <c r="J50" i="24"/>
  <c r="M8" i="32" s="1"/>
  <c r="M46" i="24"/>
  <c r="M41" i="24"/>
  <c r="J40" i="24"/>
  <c r="O34" i="24" s="1"/>
  <c r="P34" i="24" s="1"/>
  <c r="M33" i="24" s="1"/>
  <c r="V30" i="24"/>
  <c r="U31" i="24" s="1"/>
  <c r="J31" i="24" s="1"/>
  <c r="O31" i="24" s="1"/>
  <c r="P31" i="24" s="1"/>
  <c r="L27" i="24" s="1"/>
  <c r="M27" i="24" s="1"/>
  <c r="U30" i="24"/>
  <c r="U24" i="24"/>
  <c r="W23" i="24"/>
  <c r="W22" i="24"/>
  <c r="W21" i="24"/>
  <c r="M20" i="24"/>
  <c r="U17" i="24"/>
  <c r="U18" i="24" s="1"/>
  <c r="J18" i="24" s="1"/>
  <c r="N18" i="24" s="1"/>
  <c r="O18" i="24" s="1"/>
  <c r="L13" i="24" s="1"/>
  <c r="M13" i="24" s="1"/>
  <c r="W24" i="24" l="1"/>
  <c r="J25" i="24" s="1"/>
  <c r="M76" i="23"/>
  <c r="M69" i="23"/>
  <c r="P63" i="23"/>
  <c r="L62" i="23" s="1"/>
  <c r="M62" i="23" s="1"/>
  <c r="M56" i="23"/>
  <c r="M51" i="23"/>
  <c r="J49" i="23"/>
  <c r="M7" i="32" s="1"/>
  <c r="M45" i="23"/>
  <c r="M40" i="23"/>
  <c r="J38" i="23"/>
  <c r="M32" i="23"/>
  <c r="U29" i="23"/>
  <c r="U30" i="23" s="1"/>
  <c r="J30" i="23" s="1"/>
  <c r="J24" i="23"/>
  <c r="O20" i="23" s="1"/>
  <c r="P20" i="23" s="1"/>
  <c r="L19" i="23" s="1"/>
  <c r="M19" i="23" s="1"/>
  <c r="K11" i="23"/>
  <c r="J11" i="23"/>
  <c r="M6" i="23"/>
  <c r="O30" i="23" l="1"/>
  <c r="P30" i="23" s="1"/>
  <c r="L26" i="23" s="1"/>
  <c r="M26" i="23" s="1"/>
  <c r="M39" i="22"/>
  <c r="M56" i="22"/>
  <c r="J43" i="22"/>
  <c r="M6" i="32" s="1"/>
  <c r="J32" i="22"/>
  <c r="R22" i="22"/>
  <c r="J24" i="22" s="1"/>
  <c r="J18" i="22"/>
  <c r="M21" i="32" l="1"/>
  <c r="O24" i="22"/>
  <c r="P24" i="22" s="1"/>
  <c r="L20" i="22" s="1"/>
  <c r="M26" i="22"/>
  <c r="M63" i="22"/>
  <c r="M70" i="22"/>
  <c r="M34" i="22"/>
  <c r="M20" i="22"/>
  <c r="M45" i="22"/>
  <c r="M50" i="22"/>
  <c r="M13" i="22"/>
  <c r="B77" i="21" l="1"/>
  <c r="N57" i="21"/>
  <c r="O57" i="21" s="1"/>
  <c r="L56" i="21" s="1"/>
  <c r="M56" i="21" s="1"/>
  <c r="M50" i="21"/>
  <c r="M45" i="21"/>
  <c r="J43" i="21"/>
  <c r="O40" i="21" s="1"/>
  <c r="M34" i="21"/>
  <c r="J32" i="21"/>
  <c r="O27" i="21" s="1"/>
  <c r="P27" i="21" s="1"/>
  <c r="L26" i="21" s="1"/>
  <c r="M26" i="21" s="1"/>
  <c r="X22" i="21"/>
  <c r="J24" i="21" s="1"/>
  <c r="O21" i="21" s="1"/>
  <c r="P21" i="21" s="1"/>
  <c r="L20" i="21" s="1"/>
  <c r="M20" i="21" s="1"/>
  <c r="J18" i="21"/>
  <c r="N17" i="21" s="1"/>
  <c r="M70" i="21" l="1"/>
  <c r="B8" i="32"/>
  <c r="P40" i="21"/>
  <c r="L39" i="21" s="1"/>
  <c r="M5" i="32"/>
  <c r="O17" i="21"/>
  <c r="L13" i="21" s="1"/>
  <c r="M63" i="21"/>
  <c r="M39" i="21" l="1"/>
  <c r="M13" i="21"/>
  <c r="B80" i="20"/>
  <c r="M37" i="20" s="1"/>
  <c r="J46" i="20"/>
  <c r="Y28" i="20"/>
  <c r="J29" i="20" s="1"/>
  <c r="O26" i="20" s="1"/>
  <c r="P26" i="20" s="1"/>
  <c r="L25" i="20" s="1"/>
  <c r="J23" i="20"/>
  <c r="O20" i="20"/>
  <c r="P20" i="20" s="1"/>
  <c r="L19" i="20" s="1"/>
  <c r="J11" i="20"/>
  <c r="N7" i="20"/>
  <c r="O7" i="20" s="1"/>
  <c r="M12" i="20" l="1"/>
  <c r="M53" i="20"/>
  <c r="M31" i="20"/>
  <c r="M6" i="20"/>
  <c r="M73" i="20"/>
  <c r="B7" i="32"/>
  <c r="M48" i="20"/>
  <c r="M19" i="20"/>
  <c r="M25" i="20"/>
  <c r="O44" i="20"/>
  <c r="P44" i="20" s="1"/>
  <c r="L42" i="20" s="1"/>
  <c r="M42" i="20" s="1"/>
  <c r="M4" i="32"/>
  <c r="M59" i="20"/>
  <c r="M66" i="20"/>
  <c r="M80" i="20" l="1"/>
  <c r="C7" i="32"/>
  <c r="D7" i="32" s="1"/>
  <c r="B43" i="19"/>
  <c r="M36" i="19" l="1"/>
  <c r="B5" i="32"/>
  <c r="M13" i="19"/>
  <c r="M18" i="19"/>
  <c r="M23" i="19"/>
  <c r="M29" i="19"/>
  <c r="B82" i="18" l="1"/>
  <c r="M75" i="18"/>
  <c r="O70" i="18"/>
  <c r="L68" i="18" s="1"/>
  <c r="M61" i="18"/>
  <c r="M55" i="18"/>
  <c r="M50" i="18"/>
  <c r="J48" i="18"/>
  <c r="M39" i="18"/>
  <c r="M27" i="18"/>
  <c r="M68" i="18" l="1"/>
  <c r="B3" i="32"/>
  <c r="N45" i="18"/>
  <c r="O45" i="18" s="1"/>
  <c r="B99" i="17"/>
  <c r="B4" i="32" s="1"/>
  <c r="M92" i="17"/>
  <c r="O87" i="17"/>
  <c r="L85" i="17" s="1"/>
  <c r="M85" i="17" s="1"/>
  <c r="M78" i="17"/>
  <c r="M72" i="17"/>
  <c r="M67" i="17"/>
  <c r="K20" i="17"/>
  <c r="J20" i="17"/>
  <c r="J11" i="17"/>
  <c r="N7" i="17"/>
  <c r="O7" i="17" s="1"/>
  <c r="M6" i="17"/>
  <c r="M62" i="17" l="1"/>
  <c r="L44" i="18"/>
  <c r="M44" i="18" s="1"/>
  <c r="B81" i="16"/>
  <c r="J47" i="16"/>
  <c r="M3" i="32" s="1"/>
  <c r="J37" i="16"/>
  <c r="S24" i="16"/>
  <c r="J27" i="16" s="1"/>
  <c r="N26" i="16" s="1"/>
  <c r="O26" i="16" s="1"/>
  <c r="L23" i="16" s="1"/>
  <c r="M43" i="16" l="1"/>
  <c r="B6" i="32"/>
  <c r="M13" i="16"/>
  <c r="M23" i="16"/>
  <c r="M49" i="16"/>
  <c r="M54" i="16"/>
  <c r="M60" i="16"/>
  <c r="M29" i="16"/>
  <c r="M67" i="16"/>
  <c r="M74" i="16"/>
  <c r="M38" i="16"/>
  <c r="V40" i="15" l="1"/>
  <c r="Q22" i="29" s="1"/>
  <c r="J25" i="29" s="1"/>
  <c r="V37" i="15"/>
  <c r="V36" i="15"/>
  <c r="V35" i="15"/>
  <c r="V34" i="15"/>
  <c r="V33" i="15"/>
  <c r="N25" i="29" l="1"/>
  <c r="O25" i="29" s="1"/>
  <c r="L20" i="29" s="1"/>
  <c r="M20" i="29" s="1"/>
  <c r="M90" i="29" s="1"/>
  <c r="C16" i="32" s="1"/>
  <c r="D16" i="32" s="1"/>
  <c r="N7" i="15"/>
  <c r="AJ17" i="15" l="1"/>
  <c r="AJ18" i="15"/>
  <c r="AJ16" i="15"/>
  <c r="AJ6" i="15"/>
  <c r="AJ7" i="15"/>
  <c r="AJ8" i="15"/>
  <c r="AJ9" i="15"/>
  <c r="AJ10" i="15"/>
  <c r="AJ11" i="15"/>
  <c r="AJ12" i="15"/>
  <c r="AJ13" i="15"/>
  <c r="AJ14" i="15"/>
  <c r="AJ15" i="15"/>
  <c r="AJ19" i="15"/>
  <c r="AJ20" i="15"/>
  <c r="AJ21" i="15"/>
  <c r="AJ22" i="15"/>
  <c r="AJ5" i="15"/>
  <c r="AK23" i="15"/>
  <c r="AD8" i="15" s="1"/>
  <c r="AI23" i="15"/>
  <c r="AD6" i="15" s="1"/>
  <c r="AJ23" i="15" l="1"/>
  <c r="AD7" i="15" s="1"/>
  <c r="AF6" i="15" s="1"/>
  <c r="AM6" i="15" l="1"/>
  <c r="AN6" i="15" s="1"/>
  <c r="AE6" i="15" s="1"/>
  <c r="J26" i="15"/>
  <c r="AA67" i="15"/>
  <c r="U56" i="15"/>
  <c r="J59" i="15" s="1"/>
  <c r="T56" i="15"/>
  <c r="J58" i="15" s="1"/>
  <c r="J58" i="17" s="1"/>
  <c r="J59" i="17" l="1"/>
  <c r="J60" i="17" s="1"/>
  <c r="J60" i="15"/>
  <c r="N24" i="15"/>
  <c r="O24" i="15" s="1"/>
  <c r="L21" i="15" s="1"/>
  <c r="J26" i="17"/>
  <c r="J11" i="18"/>
  <c r="X40" i="15"/>
  <c r="X37" i="15"/>
  <c r="X36" i="15"/>
  <c r="X35" i="15"/>
  <c r="X34" i="15"/>
  <c r="X33" i="15"/>
  <c r="X41" i="15" s="1"/>
  <c r="J33" i="15"/>
  <c r="O30" i="15" s="1"/>
  <c r="L6" i="18" l="1"/>
  <c r="M6" i="18" s="1"/>
  <c r="L6" i="25"/>
  <c r="M6" i="25" s="1"/>
  <c r="L6" i="26"/>
  <c r="M6" i="26" s="1"/>
  <c r="L6" i="21"/>
  <c r="M6" i="21" s="1"/>
  <c r="M77" i="21" s="1"/>
  <c r="C8" i="32" s="1"/>
  <c r="D8" i="32" s="1"/>
  <c r="L12" i="23"/>
  <c r="M12" i="23" s="1"/>
  <c r="M83" i="23" s="1"/>
  <c r="C10" i="32" s="1"/>
  <c r="D10" i="32" s="1"/>
  <c r="L6" i="19"/>
  <c r="M6" i="19" s="1"/>
  <c r="M43" i="19" s="1"/>
  <c r="C5" i="32" s="1"/>
  <c r="D5" i="32" s="1"/>
  <c r="L6" i="24"/>
  <c r="M6" i="24" s="1"/>
  <c r="L6" i="16"/>
  <c r="M6" i="16" s="1"/>
  <c r="M81" i="16" s="1"/>
  <c r="C6" i="32" s="1"/>
  <c r="D6" i="32" s="1"/>
  <c r="L21" i="17"/>
  <c r="M21" i="17" s="1"/>
  <c r="L6" i="22"/>
  <c r="M6" i="22" s="1"/>
  <c r="M77" i="22" s="1"/>
  <c r="C9" i="32" s="1"/>
  <c r="D9" i="32" s="1"/>
  <c r="P30" i="15"/>
  <c r="J33" i="17"/>
  <c r="N30" i="17" s="1"/>
  <c r="O30" i="17" s="1"/>
  <c r="L28" i="17" s="1"/>
  <c r="M28" i="17" s="1"/>
  <c r="J18" i="18"/>
  <c r="J40" i="15"/>
  <c r="V43" i="15" s="1"/>
  <c r="O94" i="15"/>
  <c r="L91" i="15" s="1"/>
  <c r="M83" i="26" l="1"/>
  <c r="C13" i="32" s="1"/>
  <c r="D13" i="32" s="1"/>
  <c r="M77" i="25"/>
  <c r="C12" i="32" s="1"/>
  <c r="D12" i="32" s="1"/>
  <c r="M84" i="24"/>
  <c r="C11" i="32" s="1"/>
  <c r="D11" i="32" s="1"/>
  <c r="L28" i="15"/>
  <c r="L13" i="18" s="1"/>
  <c r="M13" i="18" s="1"/>
  <c r="W43" i="15"/>
  <c r="J25" i="18"/>
  <c r="J40" i="17"/>
  <c r="N36" i="17" s="1"/>
  <c r="O7" i="15"/>
  <c r="O36" i="17" l="1"/>
  <c r="L35" i="15"/>
  <c r="L20" i="18" s="1"/>
  <c r="M20" i="18" s="1"/>
  <c r="AC45" i="15"/>
  <c r="AC46" i="15"/>
  <c r="AC48" i="15"/>
  <c r="AC49" i="15"/>
  <c r="AC50" i="15"/>
  <c r="AC51" i="15"/>
  <c r="AC52" i="15"/>
  <c r="AC53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44" i="15"/>
  <c r="L35" i="17" l="1"/>
  <c r="M35" i="17" s="1"/>
  <c r="AB67" i="15"/>
  <c r="P85" i="15"/>
  <c r="L84" i="15" s="1"/>
  <c r="AC67" i="15" l="1"/>
  <c r="J46" i="15" s="1"/>
  <c r="R50" i="15"/>
  <c r="O43" i="15" l="1"/>
  <c r="P43" i="15" s="1"/>
  <c r="L42" i="15" s="1"/>
  <c r="L42" i="17" s="1"/>
  <c r="M42" i="17" s="1"/>
  <c r="J46" i="17"/>
  <c r="J31" i="18"/>
  <c r="J52" i="15"/>
  <c r="O51" i="15"/>
  <c r="P51" i="15" s="1"/>
  <c r="L48" i="15" s="1"/>
  <c r="J71" i="15"/>
  <c r="N71" i="15" s="1"/>
  <c r="O71" i="15" l="1"/>
  <c r="J37" i="18"/>
  <c r="N35" i="18" s="1"/>
  <c r="O35" i="18" s="1"/>
  <c r="L33" i="18" s="1"/>
  <c r="M33" i="18" s="1"/>
  <c r="M82" i="18" s="1"/>
  <c r="C3" i="32" s="1"/>
  <c r="D3" i="32" s="1"/>
  <c r="J52" i="17"/>
  <c r="N50" i="17" s="1"/>
  <c r="O50" i="17" s="1"/>
  <c r="L48" i="17" s="1"/>
  <c r="M48" i="17" s="1"/>
  <c r="B98" i="15"/>
  <c r="L67" i="15" l="1"/>
  <c r="M67" i="15" s="1"/>
  <c r="M42" i="15"/>
  <c r="M91" i="15"/>
  <c r="M48" i="15"/>
  <c r="M35" i="15"/>
  <c r="M84" i="15"/>
  <c r="M73" i="15"/>
  <c r="M28" i="15"/>
  <c r="M78" i="15"/>
  <c r="M62" i="15"/>
  <c r="M21" i="15"/>
  <c r="J20" i="15"/>
  <c r="J11" i="15"/>
  <c r="T58" i="15" l="1"/>
  <c r="U58" i="15" s="1"/>
  <c r="L54" i="15" s="1"/>
  <c r="L54" i="17" s="1"/>
  <c r="M54" i="17" s="1"/>
  <c r="M6" i="15"/>
  <c r="L86" i="14"/>
  <c r="K11" i="14"/>
  <c r="L9" i="14"/>
  <c r="M54" i="15" l="1"/>
  <c r="L6" i="14"/>
  <c r="J7" i="14"/>
  <c r="J91" i="14"/>
  <c r="J45" i="14" l="1"/>
  <c r="J46" i="14"/>
  <c r="L79" i="14" l="1"/>
  <c r="J33" i="14" l="1"/>
  <c r="J27" i="14"/>
  <c r="J39" i="14"/>
  <c r="J39" i="13"/>
  <c r="B94" i="14" l="1"/>
  <c r="M86" i="14" s="1"/>
  <c r="J84" i="14"/>
  <c r="L73" i="14"/>
  <c r="L68" i="14"/>
  <c r="L60" i="14"/>
  <c r="J58" i="14"/>
  <c r="L49" i="14"/>
  <c r="J47" i="14"/>
  <c r="L41" i="14"/>
  <c r="L29" i="14"/>
  <c r="L24" i="14"/>
  <c r="J15" i="14"/>
  <c r="K15" i="14"/>
  <c r="M49" i="14" l="1"/>
  <c r="M60" i="14"/>
  <c r="M68" i="14"/>
  <c r="M17" i="14"/>
  <c r="M54" i="14"/>
  <c r="M35" i="14"/>
  <c r="M73" i="14"/>
  <c r="M24" i="14"/>
  <c r="M6" i="14"/>
  <c r="M41" i="14"/>
  <c r="M29" i="14"/>
  <c r="M9" i="14"/>
  <c r="M79" i="14"/>
  <c r="J91" i="13"/>
  <c r="L86" i="13"/>
  <c r="J46" i="13"/>
  <c r="J47" i="13" s="1"/>
  <c r="B94" i="13"/>
  <c r="M54" i="13" s="1"/>
  <c r="L79" i="13"/>
  <c r="J84" i="13" s="1"/>
  <c r="L73" i="13"/>
  <c r="L68" i="13"/>
  <c r="L60" i="13"/>
  <c r="J58" i="13"/>
  <c r="L49" i="13"/>
  <c r="L41" i="13"/>
  <c r="J33" i="13"/>
  <c r="L29" i="13"/>
  <c r="J27" i="13"/>
  <c r="L24" i="13"/>
  <c r="J22" i="13"/>
  <c r="L17" i="13"/>
  <c r="J15" i="13"/>
  <c r="K11" i="13"/>
  <c r="K15" i="13" s="1"/>
  <c r="L9" i="13"/>
  <c r="J7" i="13"/>
  <c r="L6" i="13"/>
  <c r="K11" i="12"/>
  <c r="M9" i="13" l="1"/>
  <c r="M35" i="13"/>
  <c r="M49" i="13"/>
  <c r="M73" i="13"/>
  <c r="M17" i="13"/>
  <c r="M86" i="13"/>
  <c r="M24" i="13"/>
  <c r="M41" i="13"/>
  <c r="M60" i="13"/>
  <c r="M93" i="14"/>
  <c r="M6" i="13"/>
  <c r="M29" i="13"/>
  <c r="M68" i="13"/>
  <c r="M79" i="13"/>
  <c r="J7" i="12"/>
  <c r="L6" i="12"/>
  <c r="J39" i="12"/>
  <c r="J46" i="12"/>
  <c r="J47" i="12" s="1"/>
  <c r="M93" i="13" l="1"/>
  <c r="L86" i="12"/>
  <c r="L79" i="12"/>
  <c r="J84" i="12" s="1"/>
  <c r="B94" i="12"/>
  <c r="M54" i="12" s="1"/>
  <c r="L73" i="12"/>
  <c r="L68" i="12"/>
  <c r="L60" i="12"/>
  <c r="J58" i="12"/>
  <c r="L49" i="12"/>
  <c r="L41" i="12"/>
  <c r="L29" i="12"/>
  <c r="L24" i="12"/>
  <c r="J22" i="12"/>
  <c r="L17" i="12"/>
  <c r="K15" i="12"/>
  <c r="J15" i="12"/>
  <c r="L79" i="11"/>
  <c r="J84" i="11"/>
  <c r="M17" i="12" l="1"/>
  <c r="M9" i="12"/>
  <c r="M68" i="12"/>
  <c r="M73" i="12"/>
  <c r="M6" i="12"/>
  <c r="M60" i="12"/>
  <c r="M35" i="12"/>
  <c r="M79" i="12"/>
  <c r="M49" i="12"/>
  <c r="M86" i="12"/>
  <c r="M24" i="12"/>
  <c r="M29" i="12"/>
  <c r="M41" i="12"/>
  <c r="B94" i="11"/>
  <c r="M86" i="11" s="1"/>
  <c r="L73" i="11"/>
  <c r="L68" i="11"/>
  <c r="L60" i="11"/>
  <c r="J58" i="11"/>
  <c r="L49" i="11"/>
  <c r="L41" i="11"/>
  <c r="L29" i="11"/>
  <c r="L24" i="11"/>
  <c r="J22" i="11"/>
  <c r="L17" i="11"/>
  <c r="K15" i="11"/>
  <c r="J15" i="11"/>
  <c r="M17" i="11" l="1"/>
  <c r="M60" i="11"/>
  <c r="M68" i="11"/>
  <c r="M24" i="11"/>
  <c r="M41" i="11"/>
  <c r="M29" i="11"/>
  <c r="M9" i="11"/>
  <c r="M54" i="11"/>
  <c r="M93" i="12"/>
  <c r="M73" i="11"/>
  <c r="M6" i="11"/>
  <c r="M35" i="11"/>
  <c r="M79" i="11"/>
  <c r="M49" i="11"/>
  <c r="M93" i="11" l="1"/>
  <c r="B94" i="10"/>
  <c r="M86" i="10" s="1"/>
  <c r="L79" i="10"/>
  <c r="L73" i="10"/>
  <c r="L68" i="10"/>
  <c r="L60" i="10"/>
  <c r="J58" i="10"/>
  <c r="J57" i="10"/>
  <c r="J56" i="10"/>
  <c r="L49" i="10"/>
  <c r="L41" i="10"/>
  <c r="J33" i="10"/>
  <c r="L29" i="10"/>
  <c r="J27" i="10"/>
  <c r="L24" i="10"/>
  <c r="J22" i="10"/>
  <c r="L17" i="10"/>
  <c r="K15" i="10"/>
  <c r="J15" i="10"/>
  <c r="L9" i="10"/>
  <c r="J7" i="10"/>
  <c r="L6" i="10"/>
  <c r="L79" i="1"/>
  <c r="L6" i="1"/>
  <c r="J7" i="1"/>
  <c r="J84" i="1"/>
  <c r="L86" i="1"/>
  <c r="J58" i="1"/>
  <c r="L73" i="1"/>
  <c r="L68" i="1"/>
  <c r="L60" i="1"/>
  <c r="L49" i="1"/>
  <c r="L41" i="1"/>
  <c r="L29" i="1"/>
  <c r="J22" i="1"/>
  <c r="L17" i="1"/>
  <c r="L9" i="1"/>
  <c r="B94" i="1"/>
  <c r="M54" i="1" s="1"/>
  <c r="J15" i="1"/>
  <c r="K15" i="1"/>
  <c r="L24" i="1"/>
  <c r="M54" i="10" l="1"/>
  <c r="M9" i="10"/>
  <c r="M6" i="10"/>
  <c r="M24" i="10"/>
  <c r="M35" i="10"/>
  <c r="M29" i="10"/>
  <c r="M60" i="10"/>
  <c r="M68" i="10"/>
  <c r="M41" i="10"/>
  <c r="M73" i="10"/>
  <c r="M24" i="1"/>
  <c r="M17" i="10"/>
  <c r="M49" i="10"/>
  <c r="M79" i="10"/>
  <c r="M6" i="1"/>
  <c r="M9" i="1"/>
  <c r="M17" i="1"/>
  <c r="M29" i="1"/>
  <c r="M41" i="1"/>
  <c r="M49" i="1"/>
  <c r="M60" i="1"/>
  <c r="M68" i="1"/>
  <c r="M73" i="1"/>
  <c r="M86" i="1"/>
  <c r="M79" i="1"/>
  <c r="M35" i="1"/>
  <c r="M93" i="10" l="1"/>
  <c r="M93" i="1"/>
  <c r="J91" i="12"/>
  <c r="K20" i="15"/>
  <c r="N18" i="15" s="1"/>
  <c r="V41" i="15"/>
  <c r="O18" i="15" l="1"/>
  <c r="L12" i="15" s="1"/>
  <c r="L12" i="17" s="1"/>
  <c r="M12" i="17" s="1"/>
  <c r="M99" i="17" s="1"/>
  <c r="C4" i="32" s="1"/>
  <c r="D4" i="32" s="1"/>
  <c r="M12" i="15" l="1"/>
  <c r="M98" i="15" s="1"/>
  <c r="C2" i="32" s="1"/>
  <c r="D2" i="32" s="1"/>
  <c r="L6" i="27"/>
  <c r="M6" i="27" s="1"/>
  <c r="M82" i="27" s="1"/>
  <c r="C14" i="32" s="1"/>
  <c r="D14" i="32" s="1"/>
</calcChain>
</file>

<file path=xl/sharedStrings.xml><?xml version="1.0" encoding="utf-8"?>
<sst xmlns="http://schemas.openxmlformats.org/spreadsheetml/2006/main" count="4089" uniqueCount="504">
  <si>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</si>
  <si>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</si>
  <si>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</si>
  <si>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</si>
  <si>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</si>
  <si>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</si>
  <si>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</si>
  <si>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</si>
  <si>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</si>
  <si>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</si>
  <si>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</si>
  <si>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</si>
  <si>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</si>
  <si>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</si>
  <si>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</si>
  <si>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</si>
  <si>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</si>
  <si>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</si>
  <si>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</si>
  <si>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</si>
  <si>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</si>
  <si>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</si>
  <si>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</si>
  <si>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</si>
  <si>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</si>
  <si>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</si>
  <si>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</si>
  <si>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</si>
  <si>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</si>
  <si>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</si>
  <si>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</si>
  <si>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</si>
  <si>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</si>
  <si>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</si>
  <si>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</si>
  <si>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</si>
  <si>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</si>
  <si>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</si>
  <si>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</si>
  <si>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</si>
  <si>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</si>
  <si>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</si>
  <si>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</si>
  <si>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</si>
  <si>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</si>
  <si>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</si>
  <si>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</si>
  <si>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</si>
  <si>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</si>
  <si>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</si>
  <si>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</si>
  <si>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</si>
  <si>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</si>
  <si>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</si>
  <si>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</si>
  <si>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</si>
  <si>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</si>
  <si>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</si>
  <si>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</si>
  <si>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</si>
  <si>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</si>
  <si>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</si>
  <si>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</si>
  <si>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</si>
  <si>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</si>
  <si>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</si>
  <si>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</si>
  <si>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</si>
  <si>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</si>
  <si>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</si>
  <si>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</si>
  <si>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</si>
  <si>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</si>
  <si>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</si>
  <si>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</si>
  <si>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</si>
  <si>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</si>
  <si>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</si>
  <si>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</si>
  <si>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</si>
  <si>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</si>
  <si>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</si>
  <si>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</si>
  <si>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</si>
  <si>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</si>
  <si>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</si>
  <si>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</si>
  <si>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</si>
  <si>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</si>
  <si>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</si>
  <si>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</si>
  <si>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</si>
  <si>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</si>
  <si>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</si>
  <si>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</si>
  <si>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</si>
  <si>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</si>
  <si>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</si>
  <si>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</si>
  <si>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</si>
  <si>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</si>
  <si>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</si>
  <si>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</si>
  <si>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</si>
  <si>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</si>
  <si>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</si>
  <si>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</si>
  <si>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</si>
  <si>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</si>
  <si>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</si>
  <si>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</si>
  <si>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</si>
  <si>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</si>
  <si>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</si>
  <si>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</si>
  <si>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</si>
  <si>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</si>
  <si>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</si>
  <si>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</si>
  <si>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</si>
  <si>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</si>
  <si>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</si>
  <si>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</si>
  <si>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</si>
  <si>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</si>
  <si>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</si>
  <si>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</si>
  <si>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</si>
  <si>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</si>
  <si>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</si>
  <si>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</si>
  <si>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</si>
  <si>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</si>
  <si>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</si>
  <si>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</si>
  <si>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</si>
  <si>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</si>
  <si>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15 ก.ย.</t>
  </si>
  <si>
    <t>1 ก.ย.</t>
  </si>
  <si>
    <t>ค่าคะแนนเฉลี่ยถ่วงน้ำหนักรวม</t>
  </si>
  <si>
    <t>จ.ลำปาง</t>
  </si>
  <si>
    <t>ผู้รับบริการภายในของสำนักพัฒนาแหล่งน้ำขนาดใหญ่</t>
  </si>
  <si>
    <t>ได้แก่ สำนัก/กองและหน่วยงานภายในกรมชลประทานที่มีการติดต่อปะสานงาน</t>
  </si>
  <si>
    <t>กับสำนักพัฒนาแหล่งน้ำขนาดใหญ่รวมทั้งสำนักงานชลประทานต่างๆ</t>
  </si>
  <si>
    <t>ที่รับมอบโครงการก่อสร้างจากสำนักพัฒนาแหล่งน้ำขนาดใหญ่</t>
  </si>
  <si>
    <t>ที่พอใจต่อการปฏิบัติงาน</t>
  </si>
  <si>
    <t xml:space="preserve"> ของสำนัก/กอง หมวด 1-หมวด 7  โดยการตรวจ</t>
  </si>
  <si>
    <t xml:space="preserve"> ค่าเตรียมความพร้อม ของสำนักงานก่อสร้างชลประทานขนาดใหญ่ที่ 1-13</t>
  </si>
  <si>
    <t xml:space="preserve"> ผลงานจัดหาที่ดินที่แล้วเสร็จของสำนักงานก่อสร้างชลประทานขนาดใหญ่ที่ </t>
  </si>
  <si>
    <t xml:space="preserve"> 1 - 13 คำนวณจาก จำนวนเงินที่ได้รับอนุมัติตามบัญชีขออนุมัติจ่ายเงิน</t>
  </si>
  <si>
    <t xml:space="preserve"> ผลการจัดกิจกรรมมวลชนสัมพันธ์ของสำนักงานก่อสร้างชลประทานขนาดใหญ่ที่ </t>
  </si>
  <si>
    <t>และพัฒนาที่แล้วเสร็จตามแผนงาน</t>
  </si>
  <si>
    <t xml:space="preserve"> ผลงานโครงการวิจัยและพัฒนา ของสำนักงานก่อสร้างชลประทานขนาดใหญ่ที่ </t>
  </si>
  <si>
    <t xml:space="preserve"> 1-13 คำนวณจากความก้าวหน้าการจัดทำโครงการ</t>
  </si>
  <si>
    <t xml:space="preserve"> 1-13 คำนวณจากจำนวนครั้งของผลการจัดกิจกรรมสะสม เทียบกับ</t>
  </si>
  <si>
    <t>(ประเมินโดยสำนักบริหารทรัพยากรบุคคล)</t>
  </si>
  <si>
    <t xml:space="preserve"> สำนักบริหารทรัพยากรบุคคลสำรวจความพึงพอใจของบุคลากร</t>
  </si>
  <si>
    <t xml:space="preserve"> วัดความครบถ้วนในการบันทึกข้อมูล ของสำนักงานก่อสร้างชลประทาน</t>
  </si>
  <si>
    <t xml:space="preserve"> ขนาดใหญ่ที่ 1-13 ประกอบด้วย การบันทึกข้อมูลทั่วไป กระบวนการ </t>
  </si>
  <si>
    <t>สพญ-01 ปริมาณน้ำเก็บกักที่เพิ่มขึ้น</t>
  </si>
  <si>
    <t>ปริมาณน้ำเก็บกักที่เพิ่มขึ้น (ล้าน ลบ.ม.)</t>
  </si>
  <si>
    <t>(ร้อยละ)</t>
  </si>
  <si>
    <t>โครงการอ่างเก็บน้ำมวกเหล็ก</t>
  </si>
  <si>
    <t>จ.สระบุรี</t>
  </si>
  <si>
    <t xml:space="preserve">  </t>
  </si>
  <si>
    <t>สพญ-02 จำนวนพื้นที่ชลประทาน</t>
  </si>
  <si>
    <t>ที่เพิ่มขึ้น (ไร่)</t>
  </si>
  <si>
    <t>โครงการชลประทานระบบส่งน้ำ</t>
  </si>
  <si>
    <t>บ้านเขายายพริ้ง จ.ระยอง</t>
  </si>
  <si>
    <t>สพญ-03 ร้อยละความพึงพอใจของ</t>
  </si>
  <si>
    <t xml:space="preserve"> ระดับความพึงพอใจของผู้รับบริการภายใน</t>
  </si>
  <si>
    <t>ผลงานก่อสร้างของหน่วยงานในสำนักพัฒนาแหล่งน้ำขนาดใหญ่</t>
  </si>
  <si>
    <t>ของสำนักงานก่อสร้างชลประทานขนาดใหญ่ที่ 1-13 ประจำปีงบประมาณ</t>
  </si>
  <si>
    <t xml:space="preserve"> พ.ศ. 2559</t>
  </si>
  <si>
    <t>ผลงานสะสม</t>
  </si>
  <si>
    <t>สพญ-05 ร้อยละของการก่อสร้าง</t>
  </si>
  <si>
    <t>ผลงานการก่อสร้างงานป้องกันและบรรเทาอุทกภัย</t>
  </si>
  <si>
    <t>งานป้องกันและบรรเทาอุทกภัยตามแผน</t>
  </si>
  <si>
    <t>ของหน่วยงานในสำนักพัฒนาแหล่งน้ำขนาดใหญ่</t>
  </si>
  <si>
    <t>สพญ-06 ร้อยละของโครงการที่</t>
  </si>
  <si>
    <t xml:space="preserve"> ประจำปีงบประมาณ พ.ศ. 2559</t>
  </si>
  <si>
    <t>สพญ-07 ร้อยละของงานจัดหาที่ดิน</t>
  </si>
  <si>
    <t xml:space="preserve"> ทรัพย์สินที่ได้รับจัดสรร ประจำปีงบประมาณ พ.ศ. 2559</t>
  </si>
  <si>
    <t>สพญ-08 ร้อยละของกิจกรรมการ</t>
  </si>
  <si>
    <t>สพญ-09 ร้อยละของการศึกษาหรือวิจัย</t>
  </si>
  <si>
    <t>สพญ-10 ร้อยละของอัตราการเบิกจ่าย</t>
  </si>
  <si>
    <t xml:space="preserve"> ผลการเบิกจ่ายงบประมาณรายจ่ายงบลงทุน ของสำนักงานก่อสร้าง</t>
  </si>
  <si>
    <t>บาท</t>
  </si>
  <si>
    <t xml:space="preserve">ผลการเบิกจ่ายสะสม </t>
  </si>
  <si>
    <t xml:space="preserve">คิดเป็น </t>
  </si>
  <si>
    <t>สพญ-11 ร้อยละของบุคลากร</t>
  </si>
  <si>
    <t xml:space="preserve"> ของสำนัก/กอง ประจำปีงบประมาณ พ.ศ. 2559</t>
  </si>
  <si>
    <t xml:space="preserve">สำนัก/กอง  </t>
  </si>
  <si>
    <t>(ประเมินโดยกองแผนงาน)</t>
  </si>
  <si>
    <t xml:space="preserve"> โดยวัดจากจำนวนช่องที่บันทึก เทียบกับ ช่องรายการทั้งหมด จำนวน 2 รอบการประเมิน</t>
  </si>
  <si>
    <t xml:space="preserve"> ผลการประเมินรอบที่ 1 =</t>
  </si>
  <si>
    <t xml:space="preserve"> ชลประทานขนาดใหญ่ที่ 1-13  ประจำปีงบประมาณ พ.ศ. 2559</t>
  </si>
  <si>
    <t xml:space="preserve"> จัดซื้อจัดจ้าง ปัญหาอุปสรรค การเบิกจ่ายงบประมาณ แผน/ผลการปฏิบัติงาน </t>
  </si>
  <si>
    <t xml:space="preserve"> ผตป. 3-1/2559</t>
  </si>
  <si>
    <t>พี่อ้วน</t>
  </si>
  <si>
    <t>พี่จ่า, เคน</t>
  </si>
  <si>
    <t>พี่จ่า</t>
  </si>
  <si>
    <t>พี่ตุ๋ย</t>
  </si>
  <si>
    <t>เอก, เหมียว</t>
  </si>
  <si>
    <t>โครงการสถานีสูบน้ำคลองทับมา จ.ระยอง</t>
  </si>
  <si>
    <t>โครงการสถานีสูบน้ำแม่น้ำประแสร์ จ.ระยอง</t>
  </si>
  <si>
    <t>โครงการประตูระบายน้ำท่าฉิม จ.ชลบุรี</t>
  </si>
  <si>
    <t>โครงการสถานีสูบน้ำปลายคลองระบายใหญ่ ชัยนาท - ป่าสัก2 จ.สิงห์บุรี</t>
  </si>
  <si>
    <t>โครงการสถานีสูบน้ำเจริญราษณ์ จ.สมุทรปราการ</t>
  </si>
  <si>
    <t>โครงการระบบระบายน้ำแม่น้ำตรัง จ.ตรัง</t>
  </si>
  <si>
    <t>sum  =</t>
  </si>
  <si>
    <t>(สบค. จะทำการประเมินในเดือน กันยายน 2559)</t>
  </si>
  <si>
    <t>(คณะทำงาน KM กรมชลประทาน จะทำการประเมินในเดือน ตุลาคม 2559)</t>
  </si>
  <si>
    <t>ok</t>
  </si>
  <si>
    <t>งบประมาณที่ได้รับจัดสรร</t>
  </si>
  <si>
    <t>เบิกจ่ายสะสม</t>
  </si>
  <si>
    <t xml:space="preserve">สพญ.1 </t>
  </si>
  <si>
    <t>แผน</t>
  </si>
  <si>
    <t>ผล</t>
  </si>
  <si>
    <t>สพญ.3</t>
  </si>
  <si>
    <t>สพญ.5</t>
  </si>
  <si>
    <t>สพญ.6</t>
  </si>
  <si>
    <t>สพญ.9</t>
  </si>
  <si>
    <t>สพญ.10</t>
  </si>
  <si>
    <t>สพญ.11</t>
  </si>
  <si>
    <t>สพญ.13</t>
  </si>
  <si>
    <t>ร้อยละของการก่อสร้างงานป้องกันและบรรเทาอุกภัยภัย</t>
  </si>
  <si>
    <t>กอล์ฟ</t>
  </si>
  <si>
    <t>จัดสรร</t>
  </si>
  <si>
    <t>จ่ายสะสม</t>
  </si>
  <si>
    <t>โครงการระบบระบายน้ำปลักปลิง-จะนะ คลองนาทวี จ.สงขลา</t>
  </si>
  <si>
    <t>โครงการระบบระบายน้ำปลักปลิง-จะนะ คลองน้ำเค็ม จ.สงขลา</t>
  </si>
  <si>
    <t>สพญ</t>
  </si>
  <si>
    <t>ชื่อโครงการ</t>
  </si>
  <si>
    <t>ได้รับจัดสรร</t>
  </si>
  <si>
    <t>ผลรวม</t>
  </si>
  <si>
    <t>***</t>
  </si>
  <si>
    <t>สพญ.</t>
  </si>
  <si>
    <t>% งาน</t>
  </si>
  <si>
    <t>โครงการเพิ่มปริมาณน้ำในอ่างเก็บน้ำเขื่อนแม่กวง</t>
  </si>
  <si>
    <t>โครงการอ่างเก็บน้ำมวกเหล็ก จังหวัดสระบุรี</t>
  </si>
  <si>
    <t>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</si>
  <si>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โครงการประตูระบายน้ำบ้านหนองบัวพร้อมระบบส่งน้ำ จังหวัดบึงกาฬ</t>
  </si>
  <si>
    <t>โครงการประตูระบายน้ำบ้านห้วยทรายพร้อมระบบส่งน้ำ จังหวัดนครพนม</t>
  </si>
  <si>
    <t>โครงการเขื่อนทดน้ำผาจุก จังหวัดอุตรดิตถ์</t>
  </si>
  <si>
    <t>โครงการฝายน้ำยาว จังหวัดน่าน</t>
  </si>
  <si>
    <t>โครงการสถานีสูบน้ำคลองทับมา จังหวัดระยอง</t>
  </si>
  <si>
    <t>โครงการประตูระบายน้ำแม่น้ำประแสร์ จังหวัดระยอง</t>
  </si>
  <si>
    <t>โครงการประตูระบายน้ำท่าฉิม จังหวัดระยอง</t>
  </si>
  <si>
    <t>โครงการระบบชลประทานส่วนขยายอ่างเก็บน้ำประแสร์ จังหวัดระยอง</t>
  </si>
  <si>
    <t>โครงการห้วยโสมงอันเนื่องมาจากพระราชดำริ จังหวัดปราจีนบุรี</t>
  </si>
  <si>
    <t>โครงการอ่างเก็บน้ำคลองหลวง จังหวัดชลบุรี</t>
  </si>
  <si>
    <t>โครงการบรรเทาอุทกภัยเมืองจันทบุรี (แผนระยะที่2) จังหวัดจันทบุรี</t>
  </si>
  <si>
    <t>โครงการชลประทานระบบส่งน้ำบ้านเขายายพริ้ง จังหวัดระยอง</t>
  </si>
  <si>
    <t>โครงการสถานีสูบน้ำปลายคลองระบายใหญ่ ชัยนาท - ป่าสัก 2 จังหวัดสิงห์บุรี</t>
  </si>
  <si>
    <t>โครงการสถานีสูบน้ำเจริญราษฏร์ จังหวัดสมุทรปราการ</t>
  </si>
  <si>
    <t>โครงการพัฒนาลุ่มน้ำตาปี - พุมดวง จังหวัด สุราษฎร์ธานี</t>
  </si>
  <si>
    <t>โครงการสถานีสูบน้ำพร้อมระบบส่งน้ำบ้านหงษ์เจริญ จังหวัดชุมพร</t>
  </si>
  <si>
    <t>โครงการบรรเทาอุทกภัยอำเภอหาดใหญ่ (ระยะที่ 2) จังหวัดสงขลา</t>
  </si>
  <si>
    <t>โครงการระบบระบายน้ำปลักปลิง-จะนะ จังหวัดสงขลา</t>
  </si>
  <si>
    <t>โครงการระบบระบายน้ำแม่น้ำตรัง จังหวัดตรัง</t>
  </si>
  <si>
    <t>โครงการอ่างเก็บน้ำห้วยน้ำรีอันเนื่องมาจากพระราชดำริ จังหวัดอุตรดิตถ์</t>
  </si>
  <si>
    <t>โครงการประตูระบายน้ำพระอาจารย์จื่อ (ลำเชียงทา) จังหวัดชัยภูมิ</t>
  </si>
  <si>
    <t>โครงการระบบส่งน้ำโครงการอ่างเก็บน้ำห้วยตะแบง จังหวัดศรีสะเกษ</t>
  </si>
  <si>
    <t>โครงการอ่างเก็บน้ำโปร่งขุนเพชร จังหวัดชัยภูมิ</t>
  </si>
  <si>
    <t>ตัดโครงการออกไปเนื่องจากติดปัญหาอุปสรรคในการเปิดงาน</t>
  </si>
  <si>
    <t>โครงการเพิ่มประสิทธิภาพการชลประทานในลุ่มน้ำปิงตอนบน จังหวัดเชียงใหม่</t>
  </si>
  <si>
    <t>โครงการอ่างเก็บน้ำคลองมะเดื่อ จังหวัดนครนายก</t>
  </si>
  <si>
    <t>โครงการพัฒนาลุ่มน้ำห้วยหลวง จังหวัดหนองคาย-อุดรธานี</t>
  </si>
  <si>
    <t>ไม่มี</t>
  </si>
  <si>
    <t xml:space="preserve"> โครงการชลประทานพิษณุโลกฝั่งซ้าย ระยะที่2 จังหวัดพิษณุโลก</t>
  </si>
  <si>
    <t xml:space="preserve"> โครงการอ่างเก็บน้ำน้ำปี้อันเนื่องมาจากพระราชดำริ จังหวัดพะเยา</t>
  </si>
  <si>
    <t xml:space="preserve"> โครงการเพิ่มปริมาณน้ำต้นทุนเขื่อนภูมิพล จังหวัดตาก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</si>
  <si>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</t>
  </si>
  <si>
    <t>โครงการอ่างเก็บน้ำคลองพะวาใหญ่ จังหวัดจันทบุรี</t>
  </si>
  <si>
    <t>โครงการอ่างเก็บน้ำคลองโพล้ จังหวัดระยอง</t>
  </si>
  <si>
    <t xml:space="preserve">โครงการบรรเทาภัยจังหวัดปราจีนบุรี </t>
  </si>
  <si>
    <t xml:space="preserve"> โครงการอ่างเก็บน้ำคลองวังโตนด จังหวัดจันทบุรี</t>
  </si>
  <si>
    <t xml:space="preserve"> โครงการอ่างเก็บน้ำคลองลำรูใหญ่ จังหวัดพังงา</t>
  </si>
  <si>
    <t xml:space="preserve"> โครงการระบบส่งน้ำประตูระบายน้ำท่าแซะ จังหวัดชุมพร</t>
  </si>
  <si>
    <t xml:space="preserve"> โครงการวังหีบอันเนื่องมาจากพระราชดำริ จังหวัดนครศรีธรรมราช</t>
  </si>
  <si>
    <t>โครงการบรรเทาอุทกภัยเมืองนครศรีธรรมราช จังหวัดนครศรีธรรมราช</t>
  </si>
  <si>
    <t xml:space="preserve">โครงการประตูระบายน้ำศรีสองรัก จังหวัดเลย </t>
  </si>
  <si>
    <t xml:space="preserve"> โครงการอ่างเก็บน้ำพระอาจารย์จื่อ(ลำกระจวน) จังหวัดชัยภูมิ</t>
  </si>
  <si>
    <t>โครงการอ่างเก็บน้ำลำสะพุงอันเนื่องมาจากพระราชดำริ จังหวัดชัยภูมิ</t>
  </si>
  <si>
    <t>โครงการป้องกันน้ำท่วมเมืองชัยภูมิ จังหวัดชัยภูมิ</t>
  </si>
  <si>
    <t xml:space="preserve"> โครงการเพิ่มพื้นที่ชลประทาน โครงการส่งน้ำและบำรุงรักษาลำปาว จังหวัดกาฬสินธุ์</t>
  </si>
  <si>
    <t xml:space="preserve"> โครงการพัฒนาพื้นที่ชลประทานบริเวณลุ่มน้ำมูลตอนล่าง จังหวัดอุบลราชธานี</t>
  </si>
  <si>
    <t>สพญ-07</t>
  </si>
  <si>
    <t>กองแผนงาน</t>
  </si>
  <si>
    <t>GFMIS</t>
  </si>
  <si>
    <t>สพญ.7</t>
  </si>
  <si>
    <t>สพญ.8</t>
  </si>
  <si>
    <t>EIMP</t>
  </si>
  <si>
    <t>สพญ.12</t>
  </si>
  <si>
    <t>สพญ.4</t>
  </si>
  <si>
    <t>งบปกติ</t>
  </si>
  <si>
    <t>งบวิทยุ</t>
  </si>
  <si>
    <t>งบสื่อประชาสัมพันธ์</t>
  </si>
  <si>
    <t>ยุวชลกร</t>
  </si>
  <si>
    <t xml:space="preserve"> </t>
  </si>
  <si>
    <t>ผลการดำเนินการสพญ-02 ร้อยละความพึงพอใจของผู้รับบริการ</t>
  </si>
  <si>
    <t>ประจำปีงบประมาณ พ.ศ. 2559</t>
  </si>
  <si>
    <t>จำนวนผู้กรอกแบบสอบถาม  =</t>
  </si>
  <si>
    <t>ระดับความพึงพอใจ</t>
  </si>
  <si>
    <t>เกณฑ์การให้คะแนน</t>
  </si>
  <si>
    <t>ผลการสำรวจ</t>
  </si>
  <si>
    <t>ผลคะแนนเฉลี่ย</t>
  </si>
  <si>
    <t>คะแนน</t>
  </si>
  <si>
    <t>ร้อยละ</t>
  </si>
  <si>
    <t>(คน)</t>
  </si>
  <si>
    <t>มากที่สุด</t>
  </si>
  <si>
    <t>มาก</t>
  </si>
  <si>
    <t>ปานกลาง</t>
  </si>
  <si>
    <t>น้อย</t>
  </si>
  <si>
    <t>น้อยที่สุด</t>
  </si>
  <si>
    <t>(ฝ่ายบริหาร สพญ. ทำการประเมินในเดือน สิงหาคม 2559)</t>
  </si>
  <si>
    <t>% เบิกจ่าย</t>
  </si>
  <si>
    <t>สพญ.04</t>
  </si>
  <si>
    <t>(งบประมาณ ปกติ+EIMP+ยุวชลกร)</t>
  </si>
  <si>
    <t>งบจัดสรร</t>
  </si>
  <si>
    <t>ครั้ง (งบปกติ)</t>
  </si>
  <si>
    <t>ครั้ง (งบ EIMP)</t>
  </si>
  <si>
    <t>ส่วนติดตามและประเมินผล</t>
  </si>
  <si>
    <t>สพญ-15 ร้อยละของการจัดส่งรายงาน</t>
  </si>
  <si>
    <t>การจัดส่งรายงานจำนวน 6 รายงาน ซึ่งต้องจัดส่งให้สำนักพัฒนาแหล่งน้ำ</t>
  </si>
  <si>
    <t>ตามกรอบเวลาที่กำหนด</t>
  </si>
  <si>
    <t>ขนาดใหญ่เป็นรายเดือน รายไตรมาส และรายปีได้ทันตามกรอบเวลาที่กำหนด</t>
  </si>
  <si>
    <t>(ตัวเขื่อนทำนบดิน)</t>
  </si>
  <si>
    <t>no</t>
  </si>
  <si>
    <t>เบิกจ่าย</t>
  </si>
  <si>
    <t>เคน</t>
  </si>
  <si>
    <t>ส่วนติดตาม</t>
  </si>
  <si>
    <t>ข้อมูลจากระบบติดตาม online ณ วันที่ 3 มิถุนายน 2559</t>
  </si>
  <si>
    <t>งบประมาณรายจ่ายลงทุน</t>
  </si>
  <si>
    <t>1. 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</si>
  <si>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โครงการพัฒนาลุ่มน้ำห้วยหลวง จังหวัดหนองคาย-อุดรธานี(LS)</t>
  </si>
  <si>
    <t>สบค.</t>
  </si>
  <si>
    <t>ผาจุก จังหวัดอุตรดิตถ์</t>
  </si>
  <si>
    <t>(งบ EIMP)</t>
  </si>
  <si>
    <t>โครงการฝายน้ำยาวจังหวัดน่าน</t>
  </si>
  <si>
    <t>1.โครงการระบบส่งน้ำพิษณุโลกฝั่งซ้าย ระยะที่ 2 จังหวัดพิษณุโลก</t>
  </si>
  <si>
    <t xml:space="preserve">2.โครงการอ่างเก็บน้ำน้ำปี้ จังหวัดพะเยา </t>
  </si>
  <si>
    <t xml:space="preserve">3.โครงการเพิ่มปริมาณน้ำต้นทุนเขื่อนภุมิพล จังหวัดตาก </t>
  </si>
  <si>
    <t>sum</t>
  </si>
  <si>
    <t>พี่จ่าชัยรัตน์</t>
  </si>
  <si>
    <t>(งบปกติ)</t>
  </si>
  <si>
    <t>เอก เหมียว</t>
  </si>
  <si>
    <t>1.โครงการสถานีสูบน้ำคลองทับมา จังหวัดระยอง</t>
  </si>
  <si>
    <t>2.โครงการประตูระบายน้ำประแสร์ จังหวัดระยอง</t>
  </si>
  <si>
    <t>3.โครงการระบบชลประทานส่วนขยายอ่างเก็บน้ำประแสร์</t>
  </si>
  <si>
    <t>4.ประตูระบายน้ำท่าฉิม จังหวัดชลบุรี</t>
  </si>
  <si>
    <t>1.โครงการอ่างเก็บน้ำพะวาใหญ่ จังหวัดจันทบุรี</t>
  </si>
  <si>
    <t>2.โครงการอ่างเก็บน้ำคลองโพล้ จังหวัดระยอง</t>
  </si>
  <si>
    <t>3.โครงการบรรเทาอุทกภัยจังหวัดปราจีนบุรี</t>
  </si>
  <si>
    <t>1.โครงการห้วยโสมงอันเนื่องมาจากพระราชดำริ จังหวัดปราจีนบุรี</t>
  </si>
  <si>
    <t>งบ(EIMP)</t>
  </si>
  <si>
    <t>ฝบท.</t>
  </si>
  <si>
    <t>1.โครงการอ่างเก็บน้ำคลองหลวง จังหวัดชลบุรี</t>
  </si>
  <si>
    <t>โครงการอ่างเก็บน้ำลำตะเพินบน จังหวัดสุพรรณบุรี และระบบเชื่อมโยงไป อ่างฯห้วยเทียน-สระเก็บน้ำหนองมะสังข์ จังหวัดกาญจนบุรี(LS)</t>
  </si>
  <si>
    <t>รอสิ้นไตรมาส 4</t>
  </si>
  <si>
    <t>1.โครงการบรรเทาอุทกภัยเมืองจันทบุรี (แผนระยะที่2) จังหวัดจันทบุรี</t>
  </si>
  <si>
    <t>2.โครงการชลประทานระบบส่งน้ำบ้านเขายายพริ้ง จังหวัดระยอง</t>
  </si>
  <si>
    <t>3.โครงการสถานีสูบน้ำปลายคลองระบายใหญ่ ชัยนาท - ป่าสัก 2 จังหวัดสิงห์บุรี</t>
  </si>
  <si>
    <t>4.โครงการสถานีสูบน้ำเจริญราษฏร์ จังหวัดสมุทรปราการ</t>
  </si>
  <si>
    <t>1.โครงการสถานีสูบน้ำปลายคลองระบายใหญ่ ชัยนาท - ป่าสัก 2 จังหวัดสิงห์บุรี</t>
  </si>
  <si>
    <t>2.โครงการสถานีสูบน้ำเจริญราษฏร์ จังหวัดสมุทรปราการ</t>
  </si>
  <si>
    <t xml:space="preserve"> โครงการอ่างเก็บน้ำคลองวังโตนด จังหวัดจันทบุรี(LS)</t>
  </si>
  <si>
    <t>(ฝ่ายบริหาร สพญ.ทำการประเมินในเดือน สิงหาคม 2559)</t>
  </si>
  <si>
    <t>1.โครงการพัฒนาลุ่มน้ำตาปี - พุมดวง จังหวัดสุราษฏร์ธานี</t>
  </si>
  <si>
    <t>2.โครงการสถานีสูบน้ำพร้อมระบบส่งน้ำหงษ์เจริญ จังหวัดชุมพร</t>
  </si>
  <si>
    <t>1.โครงการอ่างเก็บน้ำคลองลำรูใหญ่ จังหวัดพังงา</t>
  </si>
  <si>
    <t>2.โครงการระบบส่งน้ำประตูระบายน้ำท่าแซะ จังหวัดชุมพร</t>
  </si>
  <si>
    <t>3.โครงการวังหีบอันเนื่องมาจากพระราชดำริ จังหวัดนครศรีธรรมราช</t>
  </si>
  <si>
    <t>1.โครงการบรรเทาอุทกภัยอำเภอหาดใหญ่ (ระยะที่2) จังหวัดสงขลา</t>
  </si>
  <si>
    <t>2.โครงการระบบระบายน้ำปลักปลิง-จะนะ จังหวัดสงขลา</t>
  </si>
  <si>
    <t>3.โครงการระบบระบายแม่น้ำตรัง จังหวัดตรัง</t>
  </si>
  <si>
    <t>1.โครงการบรรเทาอุทกภัยเมืองนครศรีธรรมราช จังหวัดนครศรีธรรมราช</t>
  </si>
  <si>
    <t>1.โครงการอ่างเก็บน้ำห้วยน้ำรีอันเนื่องมาจากพระราชดำริ จังหวัดอุตรดิตถ์</t>
  </si>
  <si>
    <t>1.โครงการประตูระบายน้ำศรีสองรัก จังหวัดเลย</t>
  </si>
  <si>
    <t>โครงการห้วยตะแบง</t>
  </si>
  <si>
    <t>จ.ศรีสะเกษ</t>
  </si>
  <si>
    <t>1.โครงการประตูระบายน้ำพระอาจารย์จื่อ (ลำเชียงทา) จังหวัดชัยภูมิ</t>
  </si>
  <si>
    <t>2.โครงการระบบส่งน้ำโครงการอ่างเก็บน้ำห้วยตะแบง จังหวัดศรีษะเกษ</t>
  </si>
  <si>
    <t>3.โครงการอ่างเก็บน้ำโปร่งขุนเพชร จังหวัดชัยภูมิ</t>
  </si>
  <si>
    <t>งบประมาณรายจ่ายลงทุน (ไตรมาส 3)</t>
  </si>
  <si>
    <t>สำนักงานก่อสร้างชลประทานขนาดใหญ่ที่ 5 สำนักพัฒนาแหล่งน้ำขนาดใหญ่  ปีงบประมาณ พ.ศ.2559 ครั้งที่ 6/2559</t>
  </si>
  <si>
    <t xml:space="preserve">รอบระยะเวลา  11  เดือน ระหว่าง วันที่  1 ตุลาคม 2558  ถึง วันที่  31 สิงหาคม 2559     </t>
  </si>
  <si>
    <t>สำนักงานก่อสร้างชลประทานขนาดใหญ่ที่ 4 สำนักพัฒนาแหล่งน้ำขนาดใหญ่  ปีงบประมาณ พ.ศ.2559 ครั้งที่ 6/2559</t>
  </si>
  <si>
    <t>สำนักงานก่อสร้างชลประทานขนาดใหญ่ที่ 3 สำนักพัฒนาแหล่งน้ำขนาดใหญ่  ปีงบประมาณ พ.ศ.2559 ครั้งที่ 6/2559</t>
  </si>
  <si>
    <t xml:space="preserve">รอบระยะเวลา  11  เดือน ระหว่าง วันที่  1 ตุลาคม 2558  ถึง วันที่  31 สิงหาคม 2559                                                                                          </t>
  </si>
  <si>
    <t>สำนักงานก่อสร้างชลประทานขนาดใหญ่ที่ 2 สำนักพัฒนาแหล่งน้ำขนาดใหญ่  ปีงบประมาณ พ.ศ.2559 ครั้งที่ 6/2559</t>
  </si>
  <si>
    <t xml:space="preserve">รอบระยะเวลา  11  เดือน ระหว่าง วันที่  1 ตุลาคม 2558  ถึง วันที่  31 สิงหาคม 2559                                                                                                   </t>
  </si>
  <si>
    <t>สำนักงานก่อสร้างชลประทานขนาดใหญ่ที่ 1 สำนักพัฒนาแหล่งน้ำขนาดใหญ่  ปีงบประมาณ พ.ศ.2559 ครั้งที่ 6/2559</t>
  </si>
  <si>
    <t>สำนักงานก่อสร้างชลประทานขนาดใหญ่ที่ 6 สำนักพัฒนาแหล่งน้ำขนาดใหญ่  ปีงบประมาณ พ.ศ.2559 ครั้งที่ 6/2559</t>
  </si>
  <si>
    <t xml:space="preserve">รอบระยะเวลา  11 เดือน ระหว่าง วันที่  1 ตุลาคม 2558  ถึง วันที่  31 สิงหาคม 2559                                                                                          </t>
  </si>
  <si>
    <t xml:space="preserve">รอบระยะเวลา  11  เดือน ระหว่าง วันที่  1 ตุลาคม 2558  ถึง วันที่  31 สิงหาคม 2559                                                                                            </t>
  </si>
  <si>
    <t>สำนักงานก่อสร้างชลประทานขนาดใหญ่ที่ 7 สำนักพัฒนาแหล่งน้ำขนาดใหญ่  ปีงบประมาณ พ.ศ.2559 ครั้งที่ 6/2559</t>
  </si>
  <si>
    <t>สำนักงานก่อสร้างชลประทานขนาดใหญ่ที่ 8 สำนักพัฒนาแหล่งน้ำขนาดใหญ่  ปีงบประมาณ พ.ศ.2559 ครั้งที่ 6/2559</t>
  </si>
  <si>
    <t xml:space="preserve">รอบระยะเวลา  11 เดือน ระหว่าง วันที่  1 ตุลาคม 2558  ถึง วันที่  31 สิงหาคม 2559     </t>
  </si>
  <si>
    <t>สำนักงานก่อสร้างชลประทานขนาดใหญ่ที่ 9 สำนักพัฒนาแหล่งน้ำขนาดใหญ่  ปีงบประมาณ พ.ศ.2559 ครั้งที่ 6/2559</t>
  </si>
  <si>
    <t xml:space="preserve">รอบระยะเวลา  11 เดือน ระหว่าง วันที่  1 ตุลาคม 2558  ถึง วันที่  31 สิงหาคม 2559                                                                                                       </t>
  </si>
  <si>
    <t>สำนักงานก่อสร้างชลประทานขนาดใหญ่ที่ 10 สำนักพัฒนาแหล่งน้ำขนาดใหญ่  ปีงบประมาณ พ.ศ.2559 ครั้งที่ 6/2559</t>
  </si>
  <si>
    <t>สำนักงานก่อสร้างชลประทานขนาดใหญ่ที่ 11 สำนักพัฒนาแหล่งน้ำขนาดใหญ่  ปีงบประมาณ พ.ศ.2559 ครั้งที่ 6/2559</t>
  </si>
  <si>
    <t>สำนักงานก่อสร้างชลประทานขนาดใหญ่ที่ 12 สำนักพัฒนาแหล่งน้ำขนาดใหญ่  ปีงบประมาณ พ.ศ.2559 ครั้งที่ 6/2559</t>
  </si>
  <si>
    <t>(ฝ่ายบริหาร สพญ. ประเมินในเดือน สิงหาคม 2559)</t>
  </si>
  <si>
    <t>สำนักงานก่อสร้างชลประทานขนาดใหญ่ที่ 13 สำนักพัฒนาแหล่งน้ำขนาดใหญ่  ปีงบประมาณ พ.ศ.2559 ครั้งที่ 6/2559</t>
  </si>
  <si>
    <t>สำนักพัฒนาแหล่งน้ำขนาดใหญ่  ปีงบประมาณ พ.ศ.2559 ครั้งที่ 6/2559</t>
  </si>
  <si>
    <t xml:space="preserve">รอบระยะเวลา  11  เดือน ระหว่าง วันที่  1 ตุลาคม 2558  ถึง วันที่  31 สิงหาคม 2559                                                                                                  </t>
  </si>
  <si>
    <t>ฝ่ายบริหาร สำนักพัฒนาแหล่งน้ำขนาดใหญ่  ปีงบประมาณ พ.ศ.2559 ครั้งที่ 6/2559</t>
  </si>
  <si>
    <t>ส่วนวิศวกรรม</t>
  </si>
  <si>
    <t>ฝ่ายบริหาร</t>
  </si>
  <si>
    <t>กส.1</t>
  </si>
  <si>
    <t>กส.2</t>
  </si>
  <si>
    <t>กส.3</t>
  </si>
  <si>
    <t>กส.4</t>
  </si>
  <si>
    <t>กส.5</t>
  </si>
  <si>
    <t>กส.6</t>
  </si>
  <si>
    <t>กส.7</t>
  </si>
  <si>
    <t>กส.8</t>
  </si>
  <si>
    <t>กส.9</t>
  </si>
  <si>
    <t>กส.10</t>
  </si>
  <si>
    <t>กส.11</t>
  </si>
  <si>
    <t>กส.12</t>
  </si>
  <si>
    <t>กส.13</t>
  </si>
  <si>
    <t xml:space="preserve">รางวัลที่ 1 </t>
  </si>
  <si>
    <t xml:space="preserve">รางวัลที่ 2 </t>
  </si>
  <si>
    <t>รางวัลที่ 3</t>
  </si>
  <si>
    <t>รางวัลชมเชยการจัดการ KMA</t>
  </si>
  <si>
    <t>ไม่รับรางวัล</t>
  </si>
  <si>
    <t>หน่วยงาน</t>
  </si>
  <si>
    <t>ชื่อเรื่องงานวิจัย</t>
  </si>
  <si>
    <t>วันที่จัดส่งงานวิจัย</t>
  </si>
  <si>
    <t>การนำโปรแกรมคอมพิวเตอร์ (Auto Cad Civil 3D)</t>
  </si>
  <si>
    <t>28 มิถุนายน 2559</t>
  </si>
  <si>
    <t>ช่วยในการคิดปริมาณงานดินตัดดินถม</t>
  </si>
  <si>
    <t>การวิเคราะห์กระบวนการบริหารงานพัสดุ โดยการจัดทำแนวทาง</t>
  </si>
  <si>
    <t>2 มีนาคม 2559</t>
  </si>
  <si>
    <t>ปฏิบัติด้านบัญชีครุภัณฑ์ สำนักพัฒนาแหล่งน้ำขนาดใหญ่</t>
  </si>
  <si>
    <t>สพญ.1</t>
  </si>
  <si>
    <t>กระบวนการจ้างที่ปรึกษาควบคุมงานก่อสร้างโดยวิธีคัดเลือก</t>
  </si>
  <si>
    <t>1 กรกฏาคม 2559</t>
  </si>
  <si>
    <t>(กรณีงานก่อสร้างอุโมงค์ส่งน้ำ)</t>
  </si>
  <si>
    <t>สพญ.2</t>
  </si>
  <si>
    <t>งานระบบป้องกันดินพังของบ่อก่อสร้างอาคารสถานีสูบน้ำ</t>
  </si>
  <si>
    <t>30 มิถุนายน 2559</t>
  </si>
  <si>
    <t>โครงการผันน้ำจากพื้นที่ลุ่มน้ำเจ้าพระยาฝั่งตะวันออก - อ่างเก็บน้ำ</t>
  </si>
  <si>
    <t>บางพระ จังหวัดชลบุรี</t>
  </si>
  <si>
    <t>การใช้วัสดุชั้นพื้นทางชนิด Soil Cement Best ตามมาตรฐาน</t>
  </si>
  <si>
    <t>กรมทางหลวง แทนวัสดุชั้นพื้นทางหินคลุก (Crushed Rock Soil</t>
  </si>
  <si>
    <t>Aggreate Type Base) งานก่อสร้างเขื่อนหัวงานและอาคารประกอบ</t>
  </si>
  <si>
    <t>พร้อมส่วนประกอบอื่น โครงการอ่างเก็บน้ำคลองหลวง รัชชโลทร</t>
  </si>
  <si>
    <t xml:space="preserve">อันเนื่องมาจากพระราชดำริ </t>
  </si>
  <si>
    <t>การเข้าครอบครองหรือใช้อสังหาริมทรัพย์โดยวิธีขายทอดตลาด</t>
  </si>
  <si>
    <t>27 พฤษภาคม 2559</t>
  </si>
  <si>
    <t>21 กรกฏาคม 2559</t>
  </si>
  <si>
    <t>โครงการพัฒนาลุ่มน้ำตาปี - พุมดวง จังหวัดสุราษฎร์ธานี</t>
  </si>
  <si>
    <t>จัดเก็บเอกสารอย่างถูกวิธี สู่การปฏิบัติงานที่มีประสิทธิภาพ</t>
  </si>
  <si>
    <t>14 กรกฏาคม 2559</t>
  </si>
  <si>
    <t>การวิเคราะห์ช่วงเวลาปิดกั้นลำน้ำ และการก่อสร้างทำนบดินปิดกั้น</t>
  </si>
  <si>
    <t>21 มิถุนายน 2559</t>
  </si>
  <si>
    <t>16 สิงหาคม 2559</t>
  </si>
  <si>
    <t>ลำน้ำเดิม โครงการเขื่อนทดน้ำผาจุก จังหวัดอุตรดิตถ์</t>
  </si>
  <si>
    <t>ส่งชื่อเรื่อง</t>
  </si>
  <si>
    <t>ส่งเค้าโครง (มิถุนายน)</t>
  </si>
  <si>
    <t>ส่งรูปเล่ม (3 มิ.ย. 59)</t>
  </si>
  <si>
    <t>ส่วนติดตามและประเมินผล สำนักพัฒนาแหล่งน้ำขนาดใหญ่  ปีงบประมาณ พ.ศ.2559 ครั้งที่ 6/2559</t>
  </si>
  <si>
    <t>ส่วนวิศวกรรม สำนักพัฒนาแหล่งน้ำขนาดใหญ่  ปีงบประมาณ พ.ศ.2559 ครั้งที่ 6/2559</t>
  </si>
  <si>
    <t xml:space="preserve"> รอบ11 เดือนเท่าเดิม ok</t>
  </si>
  <si>
    <t>ตัดออกเนื่องจากติดปัญหาเรื่องที่ดิน</t>
  </si>
  <si>
    <t>คะแนนเทียบสพญ</t>
  </si>
  <si>
    <t xml:space="preserve">ผตป.พญ. </t>
  </si>
  <si>
    <t>ผสญ.1</t>
  </si>
  <si>
    <t>ผสญ.2</t>
  </si>
  <si>
    <t>ผสญ.3</t>
  </si>
  <si>
    <t>ผสญ.4</t>
  </si>
  <si>
    <t>ฝบท.พญ.</t>
  </si>
  <si>
    <t xml:space="preserve">ผวศ.พญ. </t>
  </si>
  <si>
    <t>ผสญ.5</t>
  </si>
  <si>
    <t>ผสญ.6</t>
  </si>
  <si>
    <t>ผสญ.7</t>
  </si>
  <si>
    <t>ผสญ.8</t>
  </si>
  <si>
    <t>ผสญ.9</t>
  </si>
  <si>
    <t>ผสญ.10</t>
  </si>
  <si>
    <t>ผสญ.11</t>
  </si>
  <si>
    <t>ผสญ.12</t>
  </si>
  <si>
    <t>ผสญ.13</t>
  </si>
  <si>
    <t>รวม =</t>
  </si>
  <si>
    <t>งบลงทุน</t>
  </si>
  <si>
    <t>ยังไม่โอเคเหลือใส่ %งานใหม่</t>
  </si>
  <si>
    <t>*******</t>
  </si>
  <si>
    <t>งบก่อสร้างแหล่งน้ำ</t>
  </si>
  <si>
    <t>ผลการจัดหาที่ดิน</t>
  </si>
  <si>
    <t>ระบบติดตาม online 19 สิงหาคม 59</t>
  </si>
  <si>
    <t>1. งานก่อสร้างอุโมงค์ส่งน้ำช่วงแม่งัด-แม่กวง สัญญาที่ 1 งปม. 40,285,659 บาท ผลงานสะสม 4.103 %</t>
  </si>
  <si>
    <t>2. งานก่อสร้างอุโมงค์ส่งน้ำช่วงแม่งัด-แม่กวง สัญญาที่ 2  งปม. 11,132,126 บาท ผลงานสะสม 4.193 %</t>
  </si>
  <si>
    <t>3. ค่าใช้จ่ายในการเตรียมงานเบื้องต้น งปม. 39,000,000 บาท ผลงานสะสม 91.90  %</t>
  </si>
  <si>
    <t>4. งานก่อสร้างสะพานข้ามคลองระบายน้ำเขื่อนแม่งัดฯ งปม. 93,298,298 บาท ผลงานสะสม 78.60 %</t>
  </si>
  <si>
    <t>ตัดโครงการออกไปเนื่องจากติดปัญหาอุปสรรคในเรื่องที่ดิน</t>
  </si>
  <si>
    <t>1.งานขุดคลองผันน้ำ สถานีสูบน้ำและประตูระบายน้ำพร้อมอาคารประกอบ สัญญาที่ 1</t>
  </si>
  <si>
    <t>2.งานขุดคลองผันน้ำ สถานีสูบน้ำและประตูระบายน้ำพร้อมอาคารประกอบ สัญญาที่ 2</t>
  </si>
  <si>
    <t>2. โครงการประตูระบายน้ำบ้านห้วทรายพร้อมระบบส่งน้ำ จังหวัดนครพนม</t>
  </si>
  <si>
    <t>3. โครงการประตูระบายน้ำบ้านหนองบัวพร้อมระบบส่งน้ำ จังหวัดนครพนม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</si>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</sst>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-* #,##0.0000_-;\-* #,##0.0000_-;_-* &quot;-&quot;??_-;_-@_-"/>
    <numFmt numFmtId="191" formatCode="0.000"/>
    <numFmt numFmtId="192" formatCode="_-* #,##0.000_-;\-* #,##0.000_-;_-* &quot;-&quot;??_-;_-@_-"/>
    <numFmt numFmtId="193" formatCode="#,##0.000"/>
    <numFmt numFmtId="194" formatCode="_(* #,##0_);_(* \(#,##0\);_(* &quot;-&quot;??_);_(@_)"/>
    <numFmt numFmtId="195" formatCode="_(* #,##0.000_);_(* \(#,##0.000\);_(* &quot;-&quot;??_);_(@_)"/>
    <numFmt numFmtId="196" formatCode="0.000%"/>
    <numFmt numFmtId="197" formatCode="_-* #,##0.00000_-;\-* #,##0.00000_-;_-* &quot;-&quot;??_-;_-@_-"/>
    <numFmt numFmtId="198" formatCode="#,##0.0000_);\(#,##0.0000\)"/>
    <numFmt numFmtId="199" formatCode="_-* #,##0.000000_-;\-* #,##0.000000_-;_-* &quot;-&quot;??_-;_-@_-"/>
    <numFmt numFmtId="200" formatCode="_(* #,##0.0000_);_(* \(#,##0.0000\);_(* &quot;-&quot;??_);_(@_)"/>
  </numFmts>
  <fonts count="69" x14ac:knownFonts="1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0"/>
      <color rgb="FF0000CC"/>
      <name val="TH SarabunPSK"/>
      <family val="2"/>
    </font>
    <font>
      <sz val="16"/>
      <color rgb="FFFF0000"/>
      <name val="TH SarabunPSK"/>
      <family val="2"/>
    </font>
    <font>
      <u val="double"/>
      <sz val="16"/>
      <name val="TH SarabunPSK"/>
      <family val="2"/>
    </font>
    <font>
      <sz val="16"/>
      <color rgb="FF0000CC"/>
      <name val="TH SarabunPSK"/>
      <family val="2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color rgb="FFC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double"/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u val="double"/>
      <sz val="18"/>
      <color theme="1"/>
      <name val="TH SarabunPSK"/>
      <family val="2"/>
    </font>
    <font>
      <b/>
      <u/>
      <sz val="18"/>
      <name val="TH SarabunPSK"/>
      <family val="2"/>
    </font>
    <font>
      <b/>
      <sz val="16"/>
      <color rgb="FFC00000"/>
      <name val="TH SarabunPSK"/>
      <family val="2"/>
    </font>
    <font>
      <sz val="16"/>
      <name val="AngsanaUPC"/>
      <family val="1"/>
    </font>
    <font>
      <u/>
      <sz val="16"/>
      <color rgb="FFFF0000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name val="TH SarabunPSK"/>
      <family val="2"/>
    </font>
    <font>
      <sz val="13"/>
      <name val="TH SarabunPSK"/>
      <family val="2"/>
    </font>
    <font>
      <u val="double"/>
      <sz val="16"/>
      <color theme="1"/>
      <name val="TH SarabunPSK"/>
      <family val="2"/>
    </font>
    <font>
      <sz val="16"/>
      <color rgb="FF0070C0"/>
      <name val="AngsanaUPC"/>
      <family val="1"/>
    </font>
    <font>
      <sz val="14"/>
      <name val="TH SarabunPSK"/>
      <family val="2"/>
    </font>
    <font>
      <b/>
      <sz val="16"/>
      <color rgb="FFFFFF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94" fontId="6" fillId="0" borderId="0" applyFont="0" applyFill="0" applyBorder="0" applyAlignment="0" applyProtection="0"/>
  </cellStyleXfs>
  <cellXfs count="962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8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8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9" fontId="5" fillId="0" borderId="5" xfId="2" applyNumberFormat="1" applyFont="1" applyFill="1" applyBorder="1" applyAlignment="1" applyProtection="1">
      <alignment horizontal="center"/>
    </xf>
    <xf numFmtId="189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9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9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9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9" fontId="5" fillId="0" borderId="0" xfId="2" applyNumberFormat="1" applyFont="1" applyFill="1" applyBorder="1" applyAlignment="1" applyProtection="1">
      <alignment horizontal="center"/>
    </xf>
    <xf numFmtId="189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horizontal="center"/>
    </xf>
    <xf numFmtId="43" fontId="3" fillId="0" borderId="1" xfId="2" applyFont="1" applyFill="1" applyBorder="1" applyAlignment="1" applyProtection="1">
      <alignment horizontal="center"/>
    </xf>
    <xf numFmtId="43" fontId="5" fillId="0" borderId="15" xfId="2" applyFont="1" applyFill="1" applyBorder="1" applyAlignment="1" applyProtection="1">
      <alignment horizontal="center"/>
      <protection locked="0"/>
    </xf>
    <xf numFmtId="43" fontId="23" fillId="0" borderId="15" xfId="2" applyFont="1" applyFill="1" applyBorder="1" applyAlignment="1" applyProtection="1">
      <alignment horizontal="center"/>
      <protection locked="0"/>
    </xf>
    <xf numFmtId="43" fontId="24" fillId="0" borderId="15" xfId="2" applyFont="1" applyFill="1" applyBorder="1" applyAlignment="1" applyProtection="1">
      <alignment horizontal="center"/>
      <protection locked="0"/>
    </xf>
    <xf numFmtId="190" fontId="24" fillId="0" borderId="1" xfId="2" applyNumberFormat="1" applyFont="1" applyFill="1" applyBorder="1" applyAlignment="1" applyProtection="1">
      <alignment horizontal="center"/>
      <protection locked="0"/>
    </xf>
    <xf numFmtId="190" fontId="3" fillId="0" borderId="3" xfId="0" applyNumberFormat="1" applyFont="1" applyFill="1" applyBorder="1" applyAlignment="1" applyProtection="1">
      <alignment horizontal="center"/>
    </xf>
    <xf numFmtId="190" fontId="3" fillId="0" borderId="4" xfId="0" applyNumberFormat="1" applyFont="1" applyFill="1" applyBorder="1" applyAlignment="1" applyProtection="1">
      <alignment horizontal="center"/>
    </xf>
    <xf numFmtId="190" fontId="3" fillId="0" borderId="10" xfId="0" applyNumberFormat="1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43" fontId="24" fillId="0" borderId="1" xfId="2" applyFont="1" applyFill="1" applyBorder="1" applyAlignment="1" applyProtection="1">
      <alignment horizontal="center"/>
      <protection locked="0"/>
    </xf>
    <xf numFmtId="188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43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8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90" fontId="23" fillId="0" borderId="15" xfId="2" applyNumberFormat="1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90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43" fontId="3" fillId="0" borderId="15" xfId="2" applyFont="1" applyFill="1" applyBorder="1" applyAlignment="1" applyProtection="1">
      <alignment horizontal="center"/>
      <protection locked="0"/>
    </xf>
    <xf numFmtId="190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8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9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0" fontId="32" fillId="0" borderId="1" xfId="0" applyFont="1" applyFill="1" applyBorder="1" applyAlignment="1" applyProtection="1"/>
    <xf numFmtId="9" fontId="34" fillId="0" borderId="1" xfId="0" applyNumberFormat="1" applyFont="1" applyFill="1" applyBorder="1" applyAlignment="1" applyProtection="1">
      <alignment horizontal="center" wrapText="1"/>
    </xf>
    <xf numFmtId="190" fontId="35" fillId="0" borderId="1" xfId="2" applyNumberFormat="1" applyFont="1" applyFill="1" applyBorder="1" applyAlignment="1" applyProtection="1">
      <alignment horizontal="center"/>
      <protection locked="0"/>
    </xf>
    <xf numFmtId="188" fontId="32" fillId="0" borderId="1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190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1" fillId="0" borderId="4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3" fontId="31" fillId="0" borderId="3" xfId="0" applyNumberFormat="1" applyFont="1" applyFill="1" applyBorder="1" applyAlignment="1" applyProtection="1">
      <alignment horizontal="center" wrapText="1"/>
    </xf>
    <xf numFmtId="3" fontId="31" fillId="0" borderId="0" xfId="0" applyNumberFormat="1" applyFont="1" applyFill="1" applyProtection="1"/>
    <xf numFmtId="1" fontId="31" fillId="0" borderId="0" xfId="0" applyNumberFormat="1" applyFont="1" applyFill="1" applyProtection="1"/>
    <xf numFmtId="0" fontId="34" fillId="0" borderId="3" xfId="0" applyFont="1" applyFill="1" applyBorder="1" applyAlignment="1" applyProtection="1">
      <alignment horizontal="center" wrapText="1"/>
    </xf>
    <xf numFmtId="0" fontId="36" fillId="0" borderId="0" xfId="0" applyFont="1" applyFill="1" applyProtection="1"/>
    <xf numFmtId="0" fontId="31" fillId="0" borderId="3" xfId="0" applyFont="1" applyFill="1" applyBorder="1" applyAlignment="1" applyProtection="1">
      <alignment horizontal="center" wrapText="1"/>
    </xf>
    <xf numFmtId="0" fontId="31" fillId="0" borderId="3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right"/>
    </xf>
    <xf numFmtId="43" fontId="38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190" fontId="35" fillId="0" borderId="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right"/>
    </xf>
    <xf numFmtId="43" fontId="38" fillId="0" borderId="0" xfId="2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left"/>
    </xf>
    <xf numFmtId="189" fontId="38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9" fontId="34" fillId="0" borderId="3" xfId="0" applyNumberFormat="1" applyFont="1" applyFill="1" applyBorder="1" applyAlignment="1" applyProtection="1">
      <alignment horizontal="center" vertical="top" wrapText="1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/>
    </xf>
    <xf numFmtId="49" fontId="33" fillId="0" borderId="2" xfId="0" applyNumberFormat="1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right"/>
    </xf>
    <xf numFmtId="190" fontId="38" fillId="0" borderId="15" xfId="2" applyNumberFormat="1" applyFont="1" applyFill="1" applyBorder="1" applyAlignment="1" applyProtection="1">
      <alignment horizontal="center"/>
      <protection locked="0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0" fontId="39" fillId="0" borderId="0" xfId="1" applyFont="1" applyFill="1" applyAlignment="1" applyProtection="1"/>
    <xf numFmtId="2" fontId="34" fillId="0" borderId="3" xfId="4" applyNumberFormat="1" applyFont="1" applyFill="1" applyBorder="1" applyAlignment="1" applyProtection="1">
      <alignment horizontal="center"/>
    </xf>
    <xf numFmtId="2" fontId="40" fillId="0" borderId="0" xfId="0" applyNumberFormat="1" applyFont="1" applyFill="1" applyProtection="1"/>
    <xf numFmtId="0" fontId="32" fillId="0" borderId="6" xfId="0" applyFont="1" applyFill="1" applyBorder="1" applyAlignment="1" applyProtection="1"/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190" fontId="35" fillId="0" borderId="10" xfId="0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90" fontId="35" fillId="0" borderId="14" xfId="0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90" fontId="32" fillId="0" borderId="3" xfId="0" applyNumberFormat="1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3" fillId="0" borderId="1" xfId="0" applyFont="1" applyFill="1" applyBorder="1" applyAlignment="1" applyProtection="1">
      <alignment horizontal="center"/>
    </xf>
    <xf numFmtId="3" fontId="37" fillId="0" borderId="3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3" fillId="0" borderId="5" xfId="0" applyFont="1" applyFill="1" applyBorder="1" applyAlignment="1" applyProtection="1">
      <alignment horizontal="center"/>
    </xf>
    <xf numFmtId="0" fontId="41" fillId="0" borderId="6" xfId="0" applyFont="1" applyFill="1" applyBorder="1" applyAlignment="1" applyProtection="1">
      <alignment horizontal="left"/>
    </xf>
    <xf numFmtId="0" fontId="41" fillId="0" borderId="8" xfId="0" applyFont="1" applyFill="1" applyBorder="1" applyAlignment="1" applyProtection="1">
      <alignment horizontal="left"/>
    </xf>
    <xf numFmtId="0" fontId="41" fillId="0" borderId="9" xfId="0" applyFont="1" applyFill="1" applyBorder="1" applyAlignment="1" applyProtection="1">
      <alignment horizontal="left"/>
    </xf>
    <xf numFmtId="0" fontId="42" fillId="0" borderId="3" xfId="0" applyFont="1" applyFill="1" applyBorder="1" applyAlignment="1" applyProtection="1"/>
    <xf numFmtId="9" fontId="34" fillId="0" borderId="2" xfId="0" applyNumberFormat="1" applyFont="1" applyFill="1" applyBorder="1" applyAlignment="1" applyProtection="1">
      <alignment horizontal="center" vertical="top" wrapText="1"/>
    </xf>
    <xf numFmtId="4" fontId="32" fillId="0" borderId="6" xfId="2" applyNumberFormat="1" applyFont="1" applyFill="1" applyBorder="1" applyAlignment="1" applyProtection="1">
      <alignment horizontal="center"/>
    </xf>
    <xf numFmtId="9" fontId="34" fillId="0" borderId="3" xfId="0" applyNumberFormat="1" applyFont="1" applyFill="1" applyBorder="1" applyAlignment="1" applyProtection="1">
      <alignment horizontal="center" wrapText="1"/>
    </xf>
    <xf numFmtId="9" fontId="31" fillId="0" borderId="3" xfId="0" applyNumberFormat="1" applyFont="1" applyFill="1" applyBorder="1" applyAlignment="1" applyProtection="1">
      <alignment horizontal="center" wrapText="1"/>
    </xf>
    <xf numFmtId="9" fontId="31" fillId="0" borderId="2" xfId="0" applyNumberFormat="1" applyFont="1" applyFill="1" applyBorder="1" applyAlignment="1" applyProtection="1">
      <alignment horizontal="center" wrapText="1"/>
    </xf>
    <xf numFmtId="190" fontId="35" fillId="0" borderId="9" xfId="2" applyNumberFormat="1" applyFont="1" applyFill="1" applyBorder="1" applyAlignment="1" applyProtection="1">
      <alignment horizontal="center"/>
      <protection locked="0"/>
    </xf>
    <xf numFmtId="0" fontId="34" fillId="0" borderId="2" xfId="0" applyFont="1" applyFill="1" applyBorder="1" applyAlignment="1" applyProtection="1">
      <alignment horizontal="center" wrapText="1"/>
    </xf>
    <xf numFmtId="0" fontId="31" fillId="0" borderId="2" xfId="0" applyFont="1" applyFill="1" applyBorder="1" applyAlignment="1" applyProtection="1">
      <alignment horizontal="center" wrapText="1"/>
    </xf>
    <xf numFmtId="3" fontId="33" fillId="0" borderId="6" xfId="2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right"/>
    </xf>
    <xf numFmtId="3" fontId="33" fillId="0" borderId="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right"/>
    </xf>
    <xf numFmtId="2" fontId="32" fillId="0" borderId="6" xfId="2" applyNumberFormat="1" applyFont="1" applyFill="1" applyBorder="1" applyAlignment="1" applyProtection="1">
      <alignment horizontal="center"/>
    </xf>
    <xf numFmtId="0" fontId="38" fillId="0" borderId="11" xfId="0" applyFont="1" applyFill="1" applyBorder="1" applyAlignment="1" applyProtection="1">
      <alignment horizontal="center"/>
    </xf>
    <xf numFmtId="0" fontId="33" fillId="0" borderId="0" xfId="0" applyFont="1" applyFill="1" applyProtection="1"/>
    <xf numFmtId="2" fontId="33" fillId="0" borderId="2" xfId="0" applyNumberFormat="1" applyFont="1" applyFill="1" applyBorder="1" applyAlignment="1" applyProtection="1">
      <alignment horizontal="center"/>
    </xf>
    <xf numFmtId="2" fontId="32" fillId="0" borderId="1" xfId="2" applyNumberFormat="1" applyFont="1" applyFill="1" applyBorder="1" applyAlignment="1" applyProtection="1">
      <alignment horizontal="center"/>
    </xf>
    <xf numFmtId="43" fontId="38" fillId="0" borderId="15" xfId="2" applyNumberFormat="1" applyFont="1" applyFill="1" applyBorder="1" applyAlignment="1" applyProtection="1">
      <alignment horizontal="left"/>
      <protection locked="0"/>
    </xf>
    <xf numFmtId="2" fontId="32" fillId="0" borderId="5" xfId="0" applyNumberFormat="1" applyFont="1" applyFill="1" applyBorder="1" applyAlignment="1" applyProtection="1">
      <alignment horizontal="center"/>
    </xf>
    <xf numFmtId="188" fontId="29" fillId="0" borderId="5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Alignment="1" applyProtection="1">
      <alignment horizontal="center"/>
    </xf>
    <xf numFmtId="190" fontId="32" fillId="0" borderId="10" xfId="0" applyNumberFormat="1" applyFont="1" applyFill="1" applyBorder="1" applyAlignment="1" applyProtection="1">
      <alignment horizontal="center"/>
    </xf>
    <xf numFmtId="49" fontId="33" fillId="0" borderId="10" xfId="0" applyNumberFormat="1" applyFont="1" applyFill="1" applyBorder="1" applyAlignment="1" applyProtection="1">
      <alignment horizontal="left"/>
    </xf>
    <xf numFmtId="2" fontId="33" fillId="0" borderId="7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left"/>
    </xf>
    <xf numFmtId="190" fontId="32" fillId="0" borderId="14" xfId="0" applyNumberFormat="1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7" fillId="0" borderId="0" xfId="0" applyFont="1" applyFill="1" applyProtection="1"/>
    <xf numFmtId="2" fontId="38" fillId="0" borderId="15" xfId="2" applyNumberFormat="1" applyFont="1" applyFill="1" applyBorder="1" applyAlignment="1" applyProtection="1">
      <alignment horizontal="center"/>
      <protection locked="0"/>
    </xf>
    <xf numFmtId="3" fontId="33" fillId="0" borderId="3" xfId="2" quotePrefix="1" applyNumberFormat="1" applyFont="1" applyFill="1" applyBorder="1" applyAlignment="1" applyProtection="1">
      <alignment horizontal="center"/>
    </xf>
    <xf numFmtId="3" fontId="33" fillId="0" borderId="13" xfId="2" quotePrefix="1" applyNumberFormat="1" applyFont="1" applyFill="1" applyBorder="1" applyAlignment="1" applyProtection="1">
      <alignment horizontal="center"/>
    </xf>
    <xf numFmtId="43" fontId="43" fillId="0" borderId="15" xfId="2" applyNumberFormat="1" applyFont="1" applyFill="1" applyBorder="1" applyAlignment="1" applyProtection="1">
      <alignment horizontal="left"/>
      <protection locked="0"/>
    </xf>
    <xf numFmtId="43" fontId="43" fillId="0" borderId="15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left"/>
    </xf>
    <xf numFmtId="0" fontId="31" fillId="0" borderId="5" xfId="0" applyFont="1" applyFill="1" applyBorder="1" applyProtection="1"/>
    <xf numFmtId="0" fontId="31" fillId="0" borderId="5" xfId="0" applyFont="1" applyFill="1" applyBorder="1" applyAlignment="1" applyProtection="1">
      <alignment horizontal="center"/>
    </xf>
    <xf numFmtId="0" fontId="45" fillId="0" borderId="5" xfId="0" applyFont="1" applyFill="1" applyBorder="1" applyProtection="1"/>
    <xf numFmtId="0" fontId="45" fillId="0" borderId="5" xfId="0" applyFont="1" applyFill="1" applyBorder="1" applyAlignment="1" applyProtection="1">
      <alignment horizontal="center"/>
    </xf>
    <xf numFmtId="0" fontId="45" fillId="0" borderId="0" xfId="0" applyFont="1" applyFill="1" applyProtection="1"/>
    <xf numFmtId="0" fontId="31" fillId="0" borderId="6" xfId="0" applyFont="1" applyFill="1" applyBorder="1" applyProtection="1"/>
    <xf numFmtId="0" fontId="31" fillId="0" borderId="8" xfId="0" applyFont="1" applyFill="1" applyBorder="1" applyProtection="1"/>
    <xf numFmtId="4" fontId="31" fillId="0" borderId="8" xfId="0" applyNumberFormat="1" applyFont="1" applyFill="1" applyBorder="1" applyAlignment="1" applyProtection="1">
      <alignment horizontal="center"/>
    </xf>
    <xf numFmtId="0" fontId="31" fillId="0" borderId="2" xfId="0" applyFont="1" applyFill="1" applyBorder="1" applyProtection="1"/>
    <xf numFmtId="0" fontId="31" fillId="0" borderId="0" xfId="0" applyFont="1" applyFill="1" applyBorder="1" applyProtection="1"/>
    <xf numFmtId="4" fontId="31" fillId="0" borderId="0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Protection="1"/>
    <xf numFmtId="0" fontId="31" fillId="0" borderId="11" xfId="0" applyFont="1" applyFill="1" applyBorder="1" applyProtection="1"/>
    <xf numFmtId="4" fontId="31" fillId="0" borderId="11" xfId="0" applyNumberFormat="1" applyFont="1" applyFill="1" applyBorder="1" applyAlignment="1" applyProtection="1">
      <alignment horizontal="center"/>
    </xf>
    <xf numFmtId="0" fontId="31" fillId="0" borderId="14" xfId="0" applyFont="1" applyFill="1" applyBorder="1" applyProtection="1"/>
    <xf numFmtId="4" fontId="31" fillId="0" borderId="0" xfId="0" applyNumberFormat="1" applyFont="1" applyFill="1" applyProtection="1"/>
    <xf numFmtId="0" fontId="38" fillId="0" borderId="0" xfId="0" applyFont="1" applyFill="1" applyProtection="1"/>
    <xf numFmtId="0" fontId="46" fillId="0" borderId="0" xfId="0" applyFont="1" applyFill="1" applyProtection="1"/>
    <xf numFmtId="0" fontId="31" fillId="0" borderId="16" xfId="0" applyFont="1" applyFill="1" applyBorder="1" applyProtection="1"/>
    <xf numFmtId="0" fontId="31" fillId="0" borderId="17" xfId="0" applyFont="1" applyFill="1" applyBorder="1" applyProtection="1"/>
    <xf numFmtId="0" fontId="31" fillId="0" borderId="18" xfId="0" applyFont="1" applyFill="1" applyBorder="1" applyProtection="1"/>
    <xf numFmtId="4" fontId="31" fillId="0" borderId="5" xfId="0" applyNumberFormat="1" applyFont="1" applyFill="1" applyBorder="1" applyProtection="1"/>
    <xf numFmtId="0" fontId="38" fillId="0" borderId="0" xfId="0" applyFont="1" applyFill="1" applyAlignment="1" applyProtection="1">
      <alignment horizontal="left"/>
    </xf>
    <xf numFmtId="0" fontId="47" fillId="0" borderId="0" xfId="0" applyFont="1" applyAlignment="1">
      <alignment horizontal="center"/>
    </xf>
    <xf numFmtId="0" fontId="47" fillId="0" borderId="0" xfId="0" applyFont="1"/>
    <xf numFmtId="4" fontId="47" fillId="0" borderId="0" xfId="0" applyNumberFormat="1" applyFont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4" fontId="47" fillId="0" borderId="5" xfId="0" applyNumberFormat="1" applyFont="1" applyBorder="1" applyAlignment="1">
      <alignment horizontal="center"/>
    </xf>
    <xf numFmtId="0" fontId="47" fillId="0" borderId="8" xfId="0" applyFont="1" applyBorder="1"/>
    <xf numFmtId="4" fontId="47" fillId="0" borderId="1" xfId="0" applyNumberFormat="1" applyFont="1" applyBorder="1" applyAlignment="1">
      <alignment horizontal="center"/>
    </xf>
    <xf numFmtId="0" fontId="47" fillId="0" borderId="0" xfId="0" applyFont="1" applyBorder="1"/>
    <xf numFmtId="4" fontId="47" fillId="0" borderId="3" xfId="0" applyNumberFormat="1" applyFont="1" applyBorder="1" applyAlignment="1">
      <alignment horizontal="center"/>
    </xf>
    <xf numFmtId="0" fontId="47" fillId="0" borderId="11" xfId="0" applyFont="1" applyBorder="1"/>
    <xf numFmtId="4" fontId="47" fillId="0" borderId="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4" fontId="48" fillId="0" borderId="5" xfId="0" applyNumberFormat="1" applyFont="1" applyBorder="1" applyAlignment="1">
      <alignment horizontal="center"/>
    </xf>
    <xf numFmtId="4" fontId="48" fillId="0" borderId="9" xfId="0" applyNumberFormat="1" applyFont="1" applyBorder="1" applyAlignment="1">
      <alignment horizontal="center"/>
    </xf>
    <xf numFmtId="4" fontId="48" fillId="0" borderId="10" xfId="0" applyNumberFormat="1" applyFont="1" applyBorder="1" applyAlignment="1">
      <alignment horizontal="center"/>
    </xf>
    <xf numFmtId="4" fontId="48" fillId="0" borderId="14" xfId="0" applyNumberFormat="1" applyFont="1" applyBorder="1" applyAlignment="1">
      <alignment horizontal="center"/>
    </xf>
    <xf numFmtId="0" fontId="44" fillId="0" borderId="5" xfId="0" applyFont="1" applyFill="1" applyBorder="1" applyAlignment="1" applyProtection="1">
      <alignment horizontal="center"/>
    </xf>
    <xf numFmtId="4" fontId="44" fillId="0" borderId="5" xfId="0" applyNumberFormat="1" applyFont="1" applyFill="1" applyBorder="1" applyProtection="1"/>
    <xf numFmtId="4" fontId="44" fillId="0" borderId="6" xfId="0" applyNumberFormat="1" applyFont="1" applyFill="1" applyBorder="1" applyProtection="1"/>
    <xf numFmtId="4" fontId="44" fillId="0" borderId="2" xfId="0" applyNumberFormat="1" applyFont="1" applyFill="1" applyBorder="1" applyProtection="1"/>
    <xf numFmtId="4" fontId="44" fillId="0" borderId="7" xfId="0" applyNumberFormat="1" applyFont="1" applyFill="1" applyBorder="1" applyProtection="1"/>
    <xf numFmtId="4" fontId="45" fillId="0" borderId="0" xfId="0" applyNumberFormat="1" applyFont="1" applyFill="1" applyAlignment="1" applyProtection="1">
      <alignment horizontal="center"/>
    </xf>
    <xf numFmtId="4" fontId="45" fillId="0" borderId="0" xfId="0" applyNumberFormat="1" applyFont="1" applyFill="1" applyProtection="1"/>
    <xf numFmtId="191" fontId="45" fillId="0" borderId="0" xfId="0" applyNumberFormat="1" applyFont="1" applyFill="1" applyProtection="1"/>
    <xf numFmtId="10" fontId="33" fillId="0" borderId="1" xfId="2" applyNumberFormat="1" applyFont="1" applyFill="1" applyBorder="1" applyAlignment="1" applyProtection="1">
      <alignment horizontal="center"/>
      <protection locked="0"/>
    </xf>
    <xf numFmtId="0" fontId="44" fillId="0" borderId="0" xfId="0" applyFont="1" applyFill="1" applyProtection="1"/>
    <xf numFmtId="0" fontId="47" fillId="0" borderId="1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3" xfId="0" applyFont="1" applyBorder="1"/>
    <xf numFmtId="0" fontId="47" fillId="0" borderId="4" xfId="0" applyFont="1" applyBorder="1"/>
    <xf numFmtId="192" fontId="38" fillId="0" borderId="15" xfId="2" applyNumberFormat="1" applyFont="1" applyFill="1" applyBorder="1" applyAlignment="1" applyProtection="1">
      <alignment horizontal="left"/>
      <protection locked="0"/>
    </xf>
    <xf numFmtId="2" fontId="45" fillId="0" borderId="0" xfId="0" applyNumberFormat="1" applyFont="1" applyFill="1" applyProtection="1"/>
    <xf numFmtId="0" fontId="49" fillId="0" borderId="0" xfId="0" applyFont="1" applyFill="1" applyProtection="1"/>
    <xf numFmtId="0" fontId="50" fillId="0" borderId="0" xfId="0" applyFont="1" applyFill="1" applyProtection="1"/>
    <xf numFmtId="3" fontId="51" fillId="0" borderId="1" xfId="2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right"/>
    </xf>
    <xf numFmtId="0" fontId="51" fillId="0" borderId="0" xfId="0" applyFont="1" applyFill="1" applyAlignment="1" applyProtection="1">
      <alignment horizontal="right"/>
    </xf>
    <xf numFmtId="3" fontId="31" fillId="0" borderId="0" xfId="0" applyNumberFormat="1" applyFont="1" applyFill="1" applyAlignment="1" applyProtection="1">
      <alignment horizontal="center"/>
    </xf>
    <xf numFmtId="0" fontId="47" fillId="0" borderId="0" xfId="0" applyFont="1" applyBorder="1" applyAlignment="1">
      <alignment horizontal="center"/>
    </xf>
    <xf numFmtId="4" fontId="47" fillId="0" borderId="0" xfId="0" applyNumberFormat="1" applyFont="1" applyBorder="1" applyAlignment="1">
      <alignment horizontal="center"/>
    </xf>
    <xf numFmtId="3" fontId="31" fillId="0" borderId="5" xfId="0" applyNumberFormat="1" applyFont="1" applyFill="1" applyBorder="1" applyAlignment="1" applyProtection="1">
      <alignment horizontal="center"/>
    </xf>
    <xf numFmtId="4" fontId="31" fillId="0" borderId="1" xfId="0" applyNumberFormat="1" applyFont="1" applyFill="1" applyBorder="1" applyAlignment="1" applyProtection="1">
      <alignment horizontal="center"/>
    </xf>
    <xf numFmtId="0" fontId="31" fillId="0" borderId="1" xfId="0" applyFont="1" applyFill="1" applyBorder="1" applyAlignment="1" applyProtection="1">
      <alignment horizontal="center"/>
    </xf>
    <xf numFmtId="3" fontId="31" fillId="0" borderId="2" xfId="0" applyNumberFormat="1" applyFont="1" applyFill="1" applyBorder="1" applyAlignment="1" applyProtection="1"/>
    <xf numFmtId="3" fontId="31" fillId="0" borderId="0" xfId="0" applyNumberFormat="1" applyFont="1" applyFill="1" applyAlignment="1" applyProtection="1"/>
    <xf numFmtId="3" fontId="31" fillId="0" borderId="2" xfId="0" applyNumberFormat="1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0" fontId="33" fillId="5" borderId="5" xfId="0" applyFont="1" applyFill="1" applyBorder="1" applyAlignment="1" applyProtection="1">
      <alignment horizontal="center"/>
    </xf>
    <xf numFmtId="4" fontId="31" fillId="0" borderId="3" xfId="0" applyNumberFormat="1" applyFont="1" applyFill="1" applyBorder="1" applyAlignment="1" applyProtection="1">
      <alignment horizontal="center"/>
    </xf>
    <xf numFmtId="0" fontId="44" fillId="0" borderId="0" xfId="0" applyFont="1" applyFill="1" applyAlignment="1" applyProtection="1">
      <alignment horizontal="right"/>
    </xf>
    <xf numFmtId="4" fontId="31" fillId="0" borderId="4" xfId="0" applyNumberFormat="1" applyFont="1" applyFill="1" applyBorder="1" applyAlignment="1" applyProtection="1">
      <alignment horizontal="center"/>
    </xf>
    <xf numFmtId="0" fontId="47" fillId="0" borderId="6" xfId="0" applyFont="1" applyBorder="1" applyAlignment="1">
      <alignment horizontal="left"/>
    </xf>
    <xf numFmtId="0" fontId="47" fillId="0" borderId="2" xfId="0" applyFont="1" applyBorder="1"/>
    <xf numFmtId="4" fontId="47" fillId="0" borderId="10" xfId="0" applyNumberFormat="1" applyFont="1" applyBorder="1" applyAlignment="1">
      <alignment horizontal="center"/>
    </xf>
    <xf numFmtId="4" fontId="31" fillId="0" borderId="0" xfId="0" applyNumberFormat="1" applyFont="1" applyFill="1" applyBorder="1" applyProtection="1"/>
    <xf numFmtId="0" fontId="52" fillId="0" borderId="0" xfId="0" applyFont="1" applyFill="1" applyProtection="1"/>
    <xf numFmtId="0" fontId="48" fillId="0" borderId="5" xfId="0" applyFont="1" applyBorder="1"/>
    <xf numFmtId="0" fontId="31" fillId="0" borderId="0" xfId="0" applyFont="1" applyFill="1" applyBorder="1" applyAlignment="1" applyProtection="1">
      <alignment horizontal="right"/>
    </xf>
    <xf numFmtId="193" fontId="45" fillId="0" borderId="0" xfId="0" applyNumberFormat="1" applyFont="1" applyFill="1" applyAlignment="1" applyProtection="1">
      <alignment horizontal="center"/>
    </xf>
    <xf numFmtId="43" fontId="38" fillId="0" borderId="15" xfId="2" applyNumberFormat="1" applyFont="1" applyFill="1" applyBorder="1" applyAlignment="1" applyProtection="1">
      <alignment horizontal="center"/>
      <protection locked="0"/>
    </xf>
    <xf numFmtId="3" fontId="44" fillId="0" borderId="5" xfId="0" applyNumberFormat="1" applyFont="1" applyFill="1" applyBorder="1" applyProtection="1"/>
    <xf numFmtId="193" fontId="44" fillId="0" borderId="5" xfId="0" applyNumberFormat="1" applyFont="1" applyFill="1" applyBorder="1" applyAlignment="1" applyProtection="1">
      <alignment horizontal="center"/>
    </xf>
    <xf numFmtId="0" fontId="53" fillId="0" borderId="0" xfId="0" applyFont="1"/>
    <xf numFmtId="0" fontId="53" fillId="0" borderId="1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53" fillId="5" borderId="5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194" fontId="54" fillId="0" borderId="19" xfId="2" applyNumberFormat="1" applyFont="1" applyBorder="1" applyAlignment="1">
      <alignment horizontal="center"/>
    </xf>
    <xf numFmtId="0" fontId="54" fillId="0" borderId="0" xfId="0" applyFont="1"/>
    <xf numFmtId="0" fontId="54" fillId="0" borderId="3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54" fillId="0" borderId="20" xfId="0" applyFont="1" applyBorder="1" applyAlignment="1">
      <alignment horizontal="center"/>
    </xf>
    <xf numFmtId="194" fontId="54" fillId="0" borderId="20" xfId="2" applyNumberFormat="1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194" fontId="54" fillId="0" borderId="21" xfId="2" applyNumberFormat="1" applyFont="1" applyBorder="1" applyAlignment="1">
      <alignment horizontal="center"/>
    </xf>
    <xf numFmtId="187" fontId="54" fillId="0" borderId="0" xfId="0" applyNumberFormat="1" applyFont="1"/>
    <xf numFmtId="0" fontId="54" fillId="0" borderId="4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6" fillId="0" borderId="5" xfId="0" applyFont="1" applyBorder="1" applyAlignment="1">
      <alignment horizontal="center"/>
    </xf>
    <xf numFmtId="3" fontId="31" fillId="0" borderId="0" xfId="0" applyNumberFormat="1" applyFont="1" applyFill="1" applyBorder="1" applyAlignment="1" applyProtection="1">
      <alignment horizontal="left"/>
    </xf>
    <xf numFmtId="187" fontId="31" fillId="0" borderId="0" xfId="0" applyNumberFormat="1" applyFont="1" applyFill="1" applyProtection="1"/>
    <xf numFmtId="43" fontId="31" fillId="0" borderId="0" xfId="0" applyNumberFormat="1" applyFont="1" applyFill="1" applyAlignment="1" applyProtection="1">
      <alignment horizontal="center"/>
    </xf>
    <xf numFmtId="43" fontId="31" fillId="0" borderId="0" xfId="0" applyNumberFormat="1" applyFont="1" applyFill="1" applyProtection="1"/>
    <xf numFmtId="188" fontId="31" fillId="0" borderId="0" xfId="0" applyNumberFormat="1" applyFont="1" applyFill="1" applyProtection="1"/>
    <xf numFmtId="0" fontId="33" fillId="0" borderId="0" xfId="0" applyFont="1" applyFill="1" applyBorder="1" applyAlignment="1" applyProtection="1">
      <alignment horizontal="left"/>
    </xf>
    <xf numFmtId="2" fontId="31" fillId="0" borderId="0" xfId="0" applyNumberFormat="1" applyFont="1" applyFill="1" applyProtection="1"/>
    <xf numFmtId="0" fontId="31" fillId="0" borderId="5" xfId="0" quotePrefix="1" applyFont="1" applyFill="1" applyBorder="1" applyAlignment="1" applyProtection="1">
      <alignment horizontal="center"/>
    </xf>
    <xf numFmtId="191" fontId="53" fillId="5" borderId="1" xfId="0" applyNumberFormat="1" applyFont="1" applyFill="1" applyBorder="1" applyAlignment="1">
      <alignment horizontal="center" vertical="center"/>
    </xf>
    <xf numFmtId="191" fontId="53" fillId="5" borderId="3" xfId="0" applyNumberFormat="1" applyFont="1" applyFill="1" applyBorder="1" applyAlignment="1">
      <alignment horizontal="center" vertical="center"/>
    </xf>
    <xf numFmtId="191" fontId="53" fillId="5" borderId="4" xfId="0" applyNumberFormat="1" applyFont="1" applyFill="1" applyBorder="1" applyAlignment="1">
      <alignment horizontal="center" vertical="center"/>
    </xf>
    <xf numFmtId="195" fontId="54" fillId="0" borderId="1" xfId="0" applyNumberFormat="1" applyFont="1" applyBorder="1" applyAlignment="1">
      <alignment horizontal="center" vertical="center"/>
    </xf>
    <xf numFmtId="195" fontId="54" fillId="0" borderId="3" xfId="0" applyNumberFormat="1" applyFont="1" applyBorder="1" applyAlignment="1">
      <alignment horizontal="center" vertical="center"/>
    </xf>
    <xf numFmtId="195" fontId="54" fillId="0" borderId="4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5" xfId="0" applyFont="1" applyBorder="1" applyAlignment="1">
      <alignment horizontal="center"/>
    </xf>
    <xf numFmtId="0" fontId="44" fillId="0" borderId="0" xfId="0" applyFont="1" applyFill="1" applyBorder="1" applyProtection="1"/>
    <xf numFmtId="0" fontId="53" fillId="0" borderId="1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/>
    </xf>
    <xf numFmtId="0" fontId="53" fillId="0" borderId="18" xfId="0" applyFont="1" applyBorder="1" applyAlignment="1">
      <alignment horizontal="center"/>
    </xf>
    <xf numFmtId="0" fontId="53" fillId="0" borderId="4" xfId="0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0" borderId="11" xfId="0" applyFont="1" applyBorder="1" applyAlignment="1">
      <alignment horizontal="left"/>
    </xf>
    <xf numFmtId="0" fontId="57" fillId="0" borderId="0" xfId="0" applyFont="1" applyFill="1" applyProtection="1"/>
    <xf numFmtId="0" fontId="32" fillId="0" borderId="0" xfId="0" applyFont="1" applyFill="1" applyProtection="1"/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5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3" fontId="31" fillId="0" borderId="0" xfId="0" applyNumberFormat="1" applyFont="1" applyFill="1" applyAlignment="1" applyProtection="1">
      <alignment horizontal="left"/>
    </xf>
    <xf numFmtId="0" fontId="33" fillId="0" borderId="7" xfId="0" applyFont="1" applyFill="1" applyBorder="1" applyAlignment="1" applyProtection="1">
      <alignment horizontal="left"/>
    </xf>
    <xf numFmtId="4" fontId="47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0" fontId="37" fillId="0" borderId="0" xfId="0" applyFont="1" applyFill="1" applyAlignment="1" applyProtection="1">
      <alignment horizontal="right"/>
    </xf>
    <xf numFmtId="0" fontId="37" fillId="0" borderId="2" xfId="0" applyFont="1" applyFill="1" applyBorder="1" applyAlignment="1" applyProtection="1"/>
    <xf numFmtId="0" fontId="37" fillId="0" borderId="0" xfId="0" applyFont="1" applyFill="1" applyAlignment="1" applyProtection="1"/>
    <xf numFmtId="49" fontId="33" fillId="0" borderId="11" xfId="0" applyNumberFormat="1" applyFont="1" applyFill="1" applyBorder="1" applyAlignment="1" applyProtection="1">
      <alignment horizontal="center"/>
    </xf>
    <xf numFmtId="43" fontId="38" fillId="0" borderId="11" xfId="2" applyNumberFormat="1" applyFont="1" applyFill="1" applyBorder="1" applyAlignment="1" applyProtection="1">
      <alignment horizontal="left"/>
      <protection locked="0"/>
    </xf>
    <xf numFmtId="49" fontId="33" fillId="0" borderId="14" xfId="0" applyNumberFormat="1" applyFont="1" applyFill="1" applyBorder="1" applyAlignment="1" applyProtection="1">
      <alignment horizontal="center"/>
    </xf>
    <xf numFmtId="2" fontId="32" fillId="0" borderId="2" xfId="0" applyNumberFormat="1" applyFont="1" applyFill="1" applyBorder="1" applyAlignment="1" applyProtection="1">
      <alignment horizontal="center"/>
    </xf>
    <xf numFmtId="9" fontId="34" fillId="0" borderId="2" xfId="4" applyNumberFormat="1" applyFont="1" applyFill="1" applyBorder="1" applyAlignment="1" applyProtection="1">
      <alignment horizontal="center"/>
    </xf>
    <xf numFmtId="43" fontId="38" fillId="0" borderId="0" xfId="2" applyNumberFormat="1" applyFont="1" applyFill="1" applyBorder="1" applyAlignment="1" applyProtection="1">
      <alignment horizontal="left"/>
      <protection locked="0"/>
    </xf>
    <xf numFmtId="49" fontId="33" fillId="0" borderId="10" xfId="0" applyNumberFormat="1" applyFont="1" applyFill="1" applyBorder="1" applyAlignment="1" applyProtection="1">
      <alignment horizontal="center"/>
    </xf>
    <xf numFmtId="43" fontId="38" fillId="0" borderId="0" xfId="2" quotePrefix="1" applyNumberFormat="1" applyFont="1" applyFill="1" applyBorder="1" applyAlignment="1" applyProtection="1">
      <alignment horizontal="center"/>
      <protection locked="0"/>
    </xf>
    <xf numFmtId="191" fontId="31" fillId="0" borderId="0" xfId="0" applyNumberFormat="1" applyFont="1" applyFill="1" applyProtection="1"/>
    <xf numFmtId="196" fontId="33" fillId="0" borderId="1" xfId="2" applyNumberFormat="1" applyFont="1" applyFill="1" applyBorder="1" applyAlignment="1" applyProtection="1">
      <alignment horizontal="center"/>
      <protection locked="0"/>
    </xf>
    <xf numFmtId="3" fontId="37" fillId="0" borderId="13" xfId="2" applyNumberFormat="1" applyFont="1" applyFill="1" applyBorder="1" applyAlignment="1" applyProtection="1">
      <alignment horizontal="center"/>
    </xf>
    <xf numFmtId="3" fontId="34" fillId="0" borderId="3" xfId="0" applyNumberFormat="1" applyFont="1" applyFill="1" applyBorder="1" applyAlignment="1" applyProtection="1">
      <alignment horizontal="center" wrapText="1"/>
    </xf>
    <xf numFmtId="195" fontId="31" fillId="0" borderId="0" xfId="0" applyNumberFormat="1" applyFont="1" applyFill="1" applyProtection="1"/>
    <xf numFmtId="0" fontId="37" fillId="0" borderId="0" xfId="0" applyFont="1" applyFill="1" applyAlignment="1" applyProtection="1">
      <alignment horizontal="left"/>
    </xf>
    <xf numFmtId="4" fontId="31" fillId="0" borderId="0" xfId="0" applyNumberFormat="1" applyFont="1" applyFill="1" applyAlignment="1" applyProtection="1">
      <alignment horizontal="center"/>
    </xf>
    <xf numFmtId="196" fontId="51" fillId="0" borderId="1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  <protection locked="0"/>
    </xf>
    <xf numFmtId="3" fontId="51" fillId="0" borderId="3" xfId="2" applyNumberFormat="1" applyFont="1" applyFill="1" applyBorder="1" applyAlignment="1" applyProtection="1">
      <alignment horizontal="center"/>
    </xf>
    <xf numFmtId="0" fontId="51" fillId="0" borderId="13" xfId="2" applyNumberFormat="1" applyFont="1" applyFill="1" applyBorder="1" applyAlignment="1" applyProtection="1">
      <alignment horizontal="center"/>
    </xf>
    <xf numFmtId="0" fontId="58" fillId="0" borderId="0" xfId="0" applyFont="1" applyFill="1" applyProtection="1"/>
    <xf numFmtId="3" fontId="31" fillId="0" borderId="0" xfId="0" applyNumberFormat="1" applyFont="1" applyFill="1" applyBorder="1" applyAlignment="1" applyProtection="1">
      <alignment horizontal="center"/>
    </xf>
    <xf numFmtId="3" fontId="31" fillId="0" borderId="0" xfId="0" applyNumberFormat="1" applyFont="1" applyFill="1" applyBorder="1" applyProtection="1"/>
    <xf numFmtId="4" fontId="59" fillId="0" borderId="5" xfId="0" applyNumberFormat="1" applyFont="1" applyBorder="1" applyAlignment="1">
      <alignment horizontal="center"/>
    </xf>
    <xf numFmtId="192" fontId="38" fillId="0" borderId="15" xfId="2" applyNumberFormat="1" applyFont="1" applyFill="1" applyBorder="1" applyAlignment="1" applyProtection="1">
      <alignment horizontal="center"/>
      <protection locked="0"/>
    </xf>
    <xf numFmtId="0" fontId="37" fillId="0" borderId="3" xfId="0" applyFont="1" applyFill="1" applyBorder="1" applyAlignment="1" applyProtection="1">
      <alignment horizontal="right"/>
    </xf>
    <xf numFmtId="0" fontId="31" fillId="0" borderId="1" xfId="0" applyFont="1" applyFill="1" applyBorder="1" applyProtection="1"/>
    <xf numFmtId="0" fontId="44" fillId="0" borderId="5" xfId="0" applyFont="1" applyFill="1" applyBorder="1" applyProtection="1"/>
    <xf numFmtId="4" fontId="31" fillId="0" borderId="18" xfId="0" applyNumberFormat="1" applyFont="1" applyFill="1" applyBorder="1" applyProtection="1"/>
    <xf numFmtId="2" fontId="31" fillId="0" borderId="5" xfId="0" applyNumberFormat="1" applyFont="1" applyFill="1" applyBorder="1" applyAlignment="1" applyProtection="1">
      <alignment horizontal="center"/>
    </xf>
    <xf numFmtId="193" fontId="31" fillId="0" borderId="5" xfId="0" applyNumberFormat="1" applyFont="1" applyFill="1" applyBorder="1" applyAlignment="1" applyProtection="1">
      <alignment horizontal="center"/>
    </xf>
    <xf numFmtId="4" fontId="44" fillId="0" borderId="0" xfId="0" applyNumberFormat="1" applyFont="1" applyFill="1" applyBorder="1" applyProtection="1"/>
    <xf numFmtId="193" fontId="44" fillId="0" borderId="0" xfId="0" applyNumberFormat="1" applyFont="1" applyFill="1" applyBorder="1" applyAlignment="1" applyProtection="1">
      <alignment horizontal="center"/>
    </xf>
    <xf numFmtId="192" fontId="38" fillId="0" borderId="0" xfId="2" applyNumberFormat="1" applyFont="1" applyFill="1" applyBorder="1" applyAlignment="1" applyProtection="1">
      <alignment horizontal="center"/>
      <protection locked="0"/>
    </xf>
    <xf numFmtId="3" fontId="51" fillId="0" borderId="1" xfId="2" quotePrefix="1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Alignment="1" applyProtection="1">
      <alignment horizontal="left"/>
    </xf>
    <xf numFmtId="4" fontId="48" fillId="0" borderId="0" xfId="0" applyNumberFormat="1" applyFont="1" applyBorder="1" applyAlignment="1">
      <alignment horizontal="center"/>
    </xf>
    <xf numFmtId="43" fontId="38" fillId="0" borderId="0" xfId="2" applyNumberFormat="1" applyFont="1" applyFill="1" applyBorder="1" applyAlignment="1" applyProtection="1">
      <alignment horizontal="center"/>
      <protection locked="0"/>
    </xf>
    <xf numFmtId="2" fontId="31" fillId="0" borderId="5" xfId="0" applyNumberFormat="1" applyFont="1" applyFill="1" applyBorder="1" applyProtection="1"/>
    <xf numFmtId="2" fontId="44" fillId="0" borderId="5" xfId="0" applyNumberFormat="1" applyFont="1" applyFill="1" applyBorder="1" applyProtection="1"/>
    <xf numFmtId="4" fontId="31" fillId="0" borderId="5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Border="1" applyProtection="1"/>
    <xf numFmtId="3" fontId="31" fillId="0" borderId="0" xfId="0" applyNumberFormat="1" applyFont="1" applyFill="1" applyBorder="1" applyAlignment="1" applyProtection="1"/>
    <xf numFmtId="192" fontId="31" fillId="0" borderId="0" xfId="0" applyNumberFormat="1" applyFont="1" applyFill="1" applyProtection="1"/>
    <xf numFmtId="4" fontId="45" fillId="0" borderId="5" xfId="0" applyNumberFormat="1" applyFont="1" applyFill="1" applyBorder="1" applyProtection="1"/>
    <xf numFmtId="191" fontId="31" fillId="0" borderId="1" xfId="0" applyNumberFormat="1" applyFont="1" applyFill="1" applyBorder="1" applyAlignment="1" applyProtection="1">
      <alignment horizontal="center"/>
    </xf>
    <xf numFmtId="191" fontId="31" fillId="0" borderId="3" xfId="0" applyNumberFormat="1" applyFont="1" applyFill="1" applyBorder="1" applyAlignment="1" applyProtection="1">
      <alignment horizontal="center"/>
    </xf>
    <xf numFmtId="191" fontId="31" fillId="0" borderId="4" xfId="0" applyNumberFormat="1" applyFont="1" applyFill="1" applyBorder="1" applyAlignment="1" applyProtection="1">
      <alignment horizontal="center"/>
    </xf>
    <xf numFmtId="191" fontId="45" fillId="0" borderId="0" xfId="0" applyNumberFormat="1" applyFont="1" applyFill="1" applyAlignment="1" applyProtection="1">
      <alignment horizontal="center"/>
    </xf>
    <xf numFmtId="4" fontId="59" fillId="0" borderId="0" xfId="0" applyNumberFormat="1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2" fontId="31" fillId="0" borderId="4" xfId="0" applyNumberFormat="1" applyFont="1" applyFill="1" applyBorder="1" applyProtection="1"/>
    <xf numFmtId="189" fontId="31" fillId="0" borderId="0" xfId="0" applyNumberFormat="1" applyFont="1" applyFill="1" applyProtection="1"/>
    <xf numFmtId="2" fontId="44" fillId="0" borderId="5" xfId="0" applyNumberFormat="1" applyFont="1" applyFill="1" applyBorder="1" applyAlignment="1" applyProtection="1">
      <alignment horizontal="center"/>
    </xf>
    <xf numFmtId="0" fontId="31" fillId="0" borderId="4" xfId="0" applyFont="1" applyFill="1" applyBorder="1" applyProtection="1"/>
    <xf numFmtId="3" fontId="44" fillId="0" borderId="0" xfId="0" applyNumberFormat="1" applyFont="1" applyFill="1" applyBorder="1" applyAlignment="1" applyProtection="1">
      <alignment horizontal="left"/>
    </xf>
    <xf numFmtId="2" fontId="50" fillId="0" borderId="0" xfId="0" applyNumberFormat="1" applyFont="1" applyFill="1" applyAlignment="1" applyProtection="1">
      <alignment horizontal="left"/>
    </xf>
    <xf numFmtId="187" fontId="50" fillId="0" borderId="0" xfId="0" applyNumberFormat="1" applyFont="1" applyFill="1" applyProtection="1"/>
    <xf numFmtId="0" fontId="45" fillId="0" borderId="0" xfId="0" applyFont="1" applyFill="1" applyBorder="1" applyProtection="1"/>
    <xf numFmtId="39" fontId="31" fillId="0" borderId="0" xfId="0" applyNumberFormat="1" applyFont="1" applyFill="1" applyAlignment="1" applyProtection="1">
      <alignment horizontal="left"/>
    </xf>
    <xf numFmtId="0" fontId="47" fillId="0" borderId="5" xfId="0" applyFont="1" applyBorder="1" applyAlignment="1">
      <alignment horizontal="left"/>
    </xf>
    <xf numFmtId="0" fontId="51" fillId="0" borderId="0" xfId="0" applyFont="1" applyFill="1" applyProtection="1"/>
    <xf numFmtId="0" fontId="50" fillId="0" borderId="0" xfId="0" applyFont="1" applyFill="1" applyAlignment="1" applyProtection="1">
      <alignment horizontal="left"/>
    </xf>
    <xf numFmtId="192" fontId="51" fillId="0" borderId="0" xfId="0" applyNumberFormat="1" applyFont="1" applyFill="1" applyProtection="1"/>
    <xf numFmtId="0" fontId="31" fillId="0" borderId="16" xfId="0" applyFont="1" applyFill="1" applyBorder="1" applyAlignment="1" applyProtection="1">
      <alignment horizontal="left"/>
    </xf>
    <xf numFmtId="191" fontId="45" fillId="0" borderId="5" xfId="0" applyNumberFormat="1" applyFont="1" applyFill="1" applyBorder="1" applyProtection="1"/>
    <xf numFmtId="187" fontId="37" fillId="0" borderId="0" xfId="0" applyNumberFormat="1" applyFont="1" applyFill="1" applyProtection="1"/>
    <xf numFmtId="2" fontId="31" fillId="0" borderId="0" xfId="0" applyNumberFormat="1" applyFont="1" applyFill="1" applyBorder="1" applyProtection="1"/>
    <xf numFmtId="197" fontId="38" fillId="0" borderId="15" xfId="2" applyNumberFormat="1" applyFont="1" applyFill="1" applyBorder="1" applyAlignment="1" applyProtection="1">
      <alignment horizontal="center"/>
      <protection locked="0"/>
    </xf>
    <xf numFmtId="2" fontId="31" fillId="0" borderId="0" xfId="0" applyNumberFormat="1" applyFont="1" applyFill="1" applyAlignment="1" applyProtection="1">
      <alignment horizontal="left"/>
    </xf>
    <xf numFmtId="198" fontId="31" fillId="0" borderId="0" xfId="0" applyNumberFormat="1" applyFont="1" applyFill="1" applyAlignment="1" applyProtection="1">
      <alignment horizontal="left"/>
    </xf>
    <xf numFmtId="199" fontId="38" fillId="0" borderId="15" xfId="2" applyNumberFormat="1" applyFont="1" applyFill="1" applyBorder="1" applyAlignment="1" applyProtection="1">
      <alignment horizontal="center"/>
      <protection locked="0"/>
    </xf>
    <xf numFmtId="0" fontId="47" fillId="0" borderId="1" xfId="0" applyFont="1" applyBorder="1"/>
    <xf numFmtId="4" fontId="47" fillId="0" borderId="5" xfId="0" applyNumberFormat="1" applyFont="1" applyBorder="1" applyAlignment="1">
      <alignment horizontal="center"/>
    </xf>
    <xf numFmtId="0" fontId="60" fillId="0" borderId="0" xfId="0" applyFont="1" applyFill="1" applyProtection="1"/>
    <xf numFmtId="2" fontId="37" fillId="0" borderId="0" xfId="0" applyNumberFormat="1" applyFont="1" applyFill="1" applyProtection="1"/>
    <xf numFmtId="43" fontId="31" fillId="0" borderId="0" xfId="2" applyFont="1" applyFill="1" applyBorder="1" applyProtection="1"/>
    <xf numFmtId="0" fontId="59" fillId="0" borderId="0" xfId="0" applyFont="1"/>
    <xf numFmtId="188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37" fillId="0" borderId="0" xfId="0" applyFont="1" applyFill="1" applyBorder="1" applyAlignment="1" applyProtection="1">
      <alignment horizontal="center"/>
    </xf>
    <xf numFmtId="43" fontId="44" fillId="0" borderId="0" xfId="2" applyFont="1" applyFill="1" applyBorder="1" applyProtection="1"/>
    <xf numFmtId="43" fontId="44" fillId="6" borderId="0" xfId="2" applyFont="1" applyFill="1" applyBorder="1" applyProtection="1"/>
    <xf numFmtId="43" fontId="31" fillId="5" borderId="0" xfId="2" applyFont="1" applyFill="1" applyBorder="1" applyProtection="1"/>
    <xf numFmtId="43" fontId="45" fillId="0" borderId="0" xfId="2" applyFont="1" applyFill="1" applyBorder="1" applyProtection="1"/>
    <xf numFmtId="43" fontId="33" fillId="0" borderId="0" xfId="2" applyFont="1" applyFill="1" applyBorder="1" applyAlignment="1" applyProtection="1">
      <alignment horizontal="center"/>
    </xf>
    <xf numFmtId="43" fontId="37" fillId="0" borderId="0" xfId="2" applyFont="1" applyFill="1" applyBorder="1" applyAlignment="1" applyProtection="1">
      <alignment horizontal="center"/>
    </xf>
    <xf numFmtId="43" fontId="31" fillId="0" borderId="0" xfId="2" applyFont="1" applyFill="1" applyBorder="1" applyAlignment="1" applyProtection="1"/>
    <xf numFmtId="43" fontId="44" fillId="6" borderId="0" xfId="2" applyFont="1" applyFill="1" applyBorder="1" applyAlignment="1" applyProtection="1"/>
    <xf numFmtId="43" fontId="49" fillId="0" borderId="0" xfId="2" applyFont="1" applyFill="1" applyBorder="1" applyProtection="1"/>
    <xf numFmtId="0" fontId="59" fillId="8" borderId="5" xfId="0" applyFont="1" applyFill="1" applyBorder="1" applyAlignment="1">
      <alignment horizontal="center"/>
    </xf>
    <xf numFmtId="0" fontId="59" fillId="7" borderId="0" xfId="0" applyFont="1" applyFill="1"/>
    <xf numFmtId="0" fontId="59" fillId="9" borderId="0" xfId="0" applyFont="1" applyFill="1"/>
    <xf numFmtId="0" fontId="59" fillId="10" borderId="0" xfId="0" applyFont="1" applyFill="1"/>
    <xf numFmtId="0" fontId="59" fillId="8" borderId="0" xfId="0" applyFont="1" applyFill="1"/>
    <xf numFmtId="0" fontId="61" fillId="0" borderId="0" xfId="0" applyFont="1"/>
    <xf numFmtId="0" fontId="61" fillId="0" borderId="5" xfId="0" applyFont="1" applyBorder="1" applyAlignment="1">
      <alignment horizontal="center"/>
    </xf>
    <xf numFmtId="0" fontId="61" fillId="0" borderId="1" xfId="0" applyFont="1" applyBorder="1"/>
    <xf numFmtId="0" fontId="61" fillId="0" borderId="1" xfId="0" applyFont="1" applyBorder="1" applyAlignment="1">
      <alignment horizontal="center"/>
    </xf>
    <xf numFmtId="0" fontId="61" fillId="0" borderId="8" xfId="0" applyFont="1" applyBorder="1"/>
    <xf numFmtId="0" fontId="61" fillId="0" borderId="7" xfId="0" applyFont="1" applyBorder="1" applyAlignment="1">
      <alignment horizontal="left"/>
    </xf>
    <xf numFmtId="0" fontId="61" fillId="0" borderId="11" xfId="0" applyFont="1" applyBorder="1" applyAlignment="1">
      <alignment horizontal="left"/>
    </xf>
    <xf numFmtId="0" fontId="61" fillId="0" borderId="14" xfId="0" applyFont="1" applyBorder="1" applyAlignment="1">
      <alignment horizontal="left"/>
    </xf>
    <xf numFmtId="0" fontId="61" fillId="0" borderId="11" xfId="0" applyFont="1" applyBorder="1"/>
    <xf numFmtId="0" fontId="61" fillId="0" borderId="4" xfId="0" applyFont="1" applyBorder="1" applyAlignment="1">
      <alignment horizontal="center"/>
    </xf>
    <xf numFmtId="0" fontId="61" fillId="0" borderId="2" xfId="0" applyFont="1" applyBorder="1"/>
    <xf numFmtId="0" fontId="61" fillId="0" borderId="3" xfId="0" applyFont="1" applyBorder="1" applyAlignment="1">
      <alignment horizontal="center"/>
    </xf>
    <xf numFmtId="0" fontId="61" fillId="0" borderId="7" xfId="0" applyFont="1" applyBorder="1"/>
    <xf numFmtId="0" fontId="61" fillId="0" borderId="2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4" xfId="0" applyFont="1" applyBorder="1"/>
    <xf numFmtId="0" fontId="61" fillId="0" borderId="5" xfId="0" applyFont="1" applyBorder="1"/>
    <xf numFmtId="0" fontId="61" fillId="0" borderId="6" xfId="0" applyFont="1" applyBorder="1" applyAlignment="1">
      <alignment horizontal="center"/>
    </xf>
    <xf numFmtId="0" fontId="61" fillId="0" borderId="0" xfId="0" applyFont="1" applyBorder="1"/>
    <xf numFmtId="0" fontId="61" fillId="0" borderId="9" xfId="0" applyFont="1" applyBorder="1"/>
    <xf numFmtId="0" fontId="61" fillId="0" borderId="2" xfId="0" applyFont="1" applyBorder="1" applyAlignment="1">
      <alignment horizontal="left"/>
    </xf>
    <xf numFmtId="0" fontId="61" fillId="0" borderId="0" xfId="0" applyFont="1" applyBorder="1" applyAlignment="1">
      <alignment horizontal="left"/>
    </xf>
    <xf numFmtId="0" fontId="61" fillId="0" borderId="10" xfId="0" applyFont="1" applyBorder="1" applyAlignment="1">
      <alignment horizontal="left"/>
    </xf>
    <xf numFmtId="0" fontId="61" fillId="0" borderId="10" xfId="0" applyFont="1" applyBorder="1"/>
    <xf numFmtId="0" fontId="61" fillId="0" borderId="14" xfId="0" applyFont="1" applyBorder="1"/>
    <xf numFmtId="0" fontId="61" fillId="0" borderId="3" xfId="0" applyFont="1" applyBorder="1"/>
    <xf numFmtId="0" fontId="61" fillId="0" borderId="0" xfId="0" applyFont="1" applyAlignment="1">
      <alignment horizontal="center"/>
    </xf>
    <xf numFmtId="0" fontId="62" fillId="0" borderId="5" xfId="0" applyFont="1" applyBorder="1" applyAlignment="1">
      <alignment horizontal="center"/>
    </xf>
    <xf numFmtId="188" fontId="31" fillId="0" borderId="0" xfId="0" applyNumberFormat="1" applyFont="1" applyFill="1" applyAlignment="1" applyProtection="1">
      <alignment horizontal="left"/>
    </xf>
    <xf numFmtId="0" fontId="59" fillId="11" borderId="5" xfId="0" applyFont="1" applyFill="1" applyBorder="1" applyAlignment="1">
      <alignment horizontal="center"/>
    </xf>
    <xf numFmtId="2" fontId="59" fillId="0" borderId="5" xfId="0" applyNumberFormat="1" applyFont="1" applyBorder="1" applyAlignment="1">
      <alignment horizontal="center"/>
    </xf>
    <xf numFmtId="0" fontId="59" fillId="0" borderId="16" xfId="0" applyFont="1" applyBorder="1"/>
    <xf numFmtId="43" fontId="31" fillId="0" borderId="0" xfId="2" applyNumberFormat="1" applyFont="1" applyFill="1" applyBorder="1"/>
    <xf numFmtId="43" fontId="31" fillId="0" borderId="0" xfId="0" applyNumberFormat="1" applyFont="1" applyFill="1" applyBorder="1" applyProtection="1"/>
    <xf numFmtId="0" fontId="63" fillId="0" borderId="0" xfId="3" applyFont="1" applyFill="1" applyBorder="1" applyAlignment="1">
      <alignment horizontal="left" indent="1"/>
    </xf>
    <xf numFmtId="43" fontId="64" fillId="0" borderId="0" xfId="3" applyNumberFormat="1" applyFont="1" applyBorder="1" applyAlignment="1">
      <alignment horizontal="center"/>
    </xf>
    <xf numFmtId="191" fontId="31" fillId="0" borderId="5" xfId="0" applyNumberFormat="1" applyFont="1" applyFill="1" applyBorder="1" applyProtection="1"/>
    <xf numFmtId="0" fontId="48" fillId="0" borderId="0" xfId="0" applyFont="1" applyBorder="1" applyAlignment="1">
      <alignment horizontal="left"/>
    </xf>
    <xf numFmtId="191" fontId="50" fillId="0" borderId="18" xfId="0" applyNumberFormat="1" applyFont="1" applyFill="1" applyBorder="1" applyAlignment="1" applyProtection="1">
      <alignment horizontal="center"/>
    </xf>
    <xf numFmtId="4" fontId="31" fillId="0" borderId="1" xfId="0" applyNumberFormat="1" applyFont="1" applyFill="1" applyBorder="1" applyProtection="1"/>
    <xf numFmtId="4" fontId="31" fillId="0" borderId="3" xfId="0" applyNumberFormat="1" applyFont="1" applyFill="1" applyBorder="1" applyProtection="1"/>
    <xf numFmtId="4" fontId="31" fillId="0" borderId="4" xfId="0" applyNumberFormat="1" applyFont="1" applyFill="1" applyBorder="1" applyProtection="1"/>
    <xf numFmtId="0" fontId="48" fillId="0" borderId="0" xfId="0" applyFont="1" applyBorder="1" applyAlignment="1">
      <alignment horizontal="center"/>
    </xf>
    <xf numFmtId="0" fontId="60" fillId="0" borderId="0" xfId="0" applyFont="1" applyFill="1" applyBorder="1" applyProtection="1"/>
    <xf numFmtId="0" fontId="44" fillId="0" borderId="0" xfId="0" applyFont="1" applyFill="1" applyAlignment="1" applyProtection="1">
      <alignment horizontal="center"/>
    </xf>
    <xf numFmtId="0" fontId="44" fillId="0" borderId="8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horizontal="center"/>
    </xf>
    <xf numFmtId="0" fontId="44" fillId="0" borderId="11" xfId="0" applyFont="1" applyFill="1" applyBorder="1" applyAlignment="1" applyProtection="1">
      <alignment horizontal="center"/>
    </xf>
    <xf numFmtId="200" fontId="31" fillId="0" borderId="0" xfId="0" applyNumberFormat="1" applyFont="1" applyFill="1" applyProtection="1"/>
    <xf numFmtId="0" fontId="59" fillId="12" borderId="0" xfId="0" applyFont="1" applyFill="1"/>
    <xf numFmtId="0" fontId="59" fillId="12" borderId="5" xfId="0" applyFont="1" applyFill="1" applyBorder="1" applyAlignment="1">
      <alignment horizontal="center"/>
    </xf>
    <xf numFmtId="0" fontId="59" fillId="0" borderId="5" xfId="0" applyFont="1" applyBorder="1"/>
    <xf numFmtId="0" fontId="59" fillId="0" borderId="0" xfId="0" applyFont="1" applyAlignment="1">
      <alignment horizontal="center"/>
    </xf>
    <xf numFmtId="43" fontId="33" fillId="0" borderId="0" xfId="0" applyNumberFormat="1" applyFont="1" applyFill="1" applyAlignment="1" applyProtection="1">
      <alignment horizontal="center"/>
    </xf>
    <xf numFmtId="187" fontId="31" fillId="0" borderId="0" xfId="0" applyNumberFormat="1" applyFont="1" applyFill="1" applyAlignment="1" applyProtection="1">
      <alignment horizontal="center"/>
    </xf>
    <xf numFmtId="0" fontId="33" fillId="13" borderId="2" xfId="0" applyFont="1" applyFill="1" applyBorder="1" applyAlignment="1" applyProtection="1">
      <alignment horizontal="left"/>
    </xf>
    <xf numFmtId="0" fontId="33" fillId="13" borderId="0" xfId="0" applyFont="1" applyFill="1" applyBorder="1" applyAlignment="1" applyProtection="1">
      <alignment horizontal="left"/>
    </xf>
    <xf numFmtId="0" fontId="33" fillId="13" borderId="10" xfId="0" applyFont="1" applyFill="1" applyBorder="1" applyAlignment="1" applyProtection="1">
      <alignment horizontal="left"/>
    </xf>
    <xf numFmtId="0" fontId="33" fillId="13" borderId="0" xfId="0" applyFont="1" applyFill="1" applyBorder="1" applyAlignment="1" applyProtection="1">
      <alignment horizontal="right"/>
    </xf>
    <xf numFmtId="43" fontId="38" fillId="13" borderId="15" xfId="2" applyFont="1" applyFill="1" applyBorder="1" applyAlignment="1" applyProtection="1">
      <alignment horizontal="center"/>
      <protection locked="0"/>
    </xf>
    <xf numFmtId="0" fontId="31" fillId="13" borderId="2" xfId="0" applyFont="1" applyFill="1" applyBorder="1" applyAlignment="1" applyProtection="1">
      <alignment horizontal="left"/>
    </xf>
    <xf numFmtId="0" fontId="31" fillId="13" borderId="0" xfId="0" applyFont="1" applyFill="1" applyBorder="1" applyAlignment="1" applyProtection="1">
      <alignment horizontal="center"/>
    </xf>
    <xf numFmtId="0" fontId="31" fillId="13" borderId="10" xfId="0" applyFont="1" applyFill="1" applyBorder="1" applyAlignment="1" applyProtection="1">
      <alignment horizontal="center"/>
    </xf>
    <xf numFmtId="2" fontId="50" fillId="0" borderId="5" xfId="0" applyNumberFormat="1" applyFont="1" applyFill="1" applyBorder="1" applyProtection="1"/>
    <xf numFmtId="0" fontId="37" fillId="0" borderId="0" xfId="0" applyFont="1" applyFill="1" applyAlignment="1" applyProtection="1">
      <alignment horizontal="center"/>
    </xf>
    <xf numFmtId="0" fontId="44" fillId="0" borderId="0" xfId="0" applyFont="1" applyFill="1" applyBorder="1" applyAlignment="1" applyProtection="1">
      <alignment horizontal="right"/>
    </xf>
    <xf numFmtId="2" fontId="50" fillId="0" borderId="5" xfId="0" applyNumberFormat="1" applyFont="1" applyFill="1" applyBorder="1" applyAlignment="1" applyProtection="1">
      <alignment horizontal="center"/>
    </xf>
    <xf numFmtId="4" fontId="59" fillId="0" borderId="9" xfId="0" applyNumberFormat="1" applyFont="1" applyBorder="1" applyAlignment="1">
      <alignment horizontal="center"/>
    </xf>
    <xf numFmtId="4" fontId="59" fillId="0" borderId="10" xfId="0" applyNumberFormat="1" applyFont="1" applyBorder="1" applyAlignment="1">
      <alignment horizontal="center"/>
    </xf>
    <xf numFmtId="4" fontId="59" fillId="0" borderId="14" xfId="0" applyNumberFormat="1" applyFont="1" applyBorder="1" applyAlignment="1">
      <alignment horizontal="center"/>
    </xf>
    <xf numFmtId="3" fontId="44" fillId="0" borderId="5" xfId="0" applyNumberFormat="1" applyFont="1" applyFill="1" applyBorder="1" applyAlignment="1" applyProtection="1">
      <alignment horizontal="center"/>
    </xf>
    <xf numFmtId="4" fontId="44" fillId="0" borderId="8" xfId="0" applyNumberFormat="1" applyFont="1" applyFill="1" applyBorder="1" applyAlignment="1" applyProtection="1">
      <alignment horizontal="center"/>
    </xf>
    <xf numFmtId="4" fontId="44" fillId="0" borderId="0" xfId="0" applyNumberFormat="1" applyFont="1" applyFill="1" applyBorder="1" applyAlignment="1" applyProtection="1">
      <alignment horizontal="center"/>
    </xf>
    <xf numFmtId="4" fontId="50" fillId="0" borderId="6" xfId="0" applyNumberFormat="1" applyFont="1" applyFill="1" applyBorder="1" applyProtection="1"/>
    <xf numFmtId="4" fontId="50" fillId="0" borderId="2" xfId="0" applyNumberFormat="1" applyFont="1" applyFill="1" applyBorder="1" applyProtection="1"/>
    <xf numFmtId="4" fontId="50" fillId="0" borderId="7" xfId="0" applyNumberFormat="1" applyFont="1" applyFill="1" applyBorder="1" applyProtection="1"/>
    <xf numFmtId="4" fontId="44" fillId="0" borderId="0" xfId="0" applyNumberFormat="1" applyFont="1" applyFill="1" applyProtection="1"/>
    <xf numFmtId="0" fontId="44" fillId="0" borderId="8" xfId="0" applyFont="1" applyFill="1" applyBorder="1" applyAlignment="1" applyProtection="1">
      <alignment horizontal="right"/>
    </xf>
    <xf numFmtId="0" fontId="44" fillId="0" borderId="11" xfId="0" applyFont="1" applyFill="1" applyBorder="1" applyAlignment="1" applyProtection="1">
      <alignment horizontal="right"/>
    </xf>
    <xf numFmtId="4" fontId="44" fillId="0" borderId="8" xfId="0" applyNumberFormat="1" applyFont="1" applyFill="1" applyBorder="1" applyAlignment="1" applyProtection="1">
      <alignment horizontal="right"/>
    </xf>
    <xf numFmtId="191" fontId="65" fillId="0" borderId="5" xfId="0" applyNumberFormat="1" applyFont="1" applyFill="1" applyBorder="1" applyAlignment="1" applyProtection="1">
      <alignment horizontal="center"/>
    </xf>
    <xf numFmtId="0" fontId="59" fillId="0" borderId="6" xfId="0" applyFont="1" applyBorder="1"/>
    <xf numFmtId="0" fontId="59" fillId="0" borderId="0" xfId="0" applyFont="1" applyBorder="1"/>
    <xf numFmtId="0" fontId="59" fillId="0" borderId="8" xfId="0" applyFont="1" applyBorder="1"/>
    <xf numFmtId="2" fontId="59" fillId="0" borderId="5" xfId="0" applyNumberFormat="1" applyFont="1" applyBorder="1"/>
    <xf numFmtId="0" fontId="59" fillId="8" borderId="16" xfId="0" applyFont="1" applyFill="1" applyBorder="1"/>
    <xf numFmtId="2" fontId="31" fillId="0" borderId="0" xfId="0" applyNumberFormat="1" applyFont="1" applyFill="1" applyAlignment="1" applyProtection="1">
      <alignment horizontal="center"/>
    </xf>
    <xf numFmtId="43" fontId="31" fillId="0" borderId="0" xfId="0" applyNumberFormat="1" applyFont="1" applyFill="1" applyBorder="1" applyAlignment="1" applyProtection="1">
      <alignment horizontal="center"/>
    </xf>
    <xf numFmtId="4" fontId="45" fillId="0" borderId="0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left"/>
    </xf>
    <xf numFmtId="0" fontId="31" fillId="0" borderId="0" xfId="3" applyFont="1" applyFill="1" applyBorder="1" applyAlignment="1">
      <alignment vertical="center"/>
    </xf>
    <xf numFmtId="192" fontId="31" fillId="0" borderId="0" xfId="5" applyNumberFormat="1" applyFont="1" applyBorder="1" applyAlignment="1">
      <alignment vertical="center"/>
    </xf>
    <xf numFmtId="192" fontId="31" fillId="0" borderId="0" xfId="6" applyNumberFormat="1" applyFont="1" applyBorder="1" applyAlignment="1">
      <alignment vertical="center"/>
    </xf>
    <xf numFmtId="187" fontId="67" fillId="0" borderId="0" xfId="2" applyNumberFormat="1" applyFont="1" applyBorder="1"/>
    <xf numFmtId="187" fontId="31" fillId="0" borderId="0" xfId="2" applyNumberFormat="1" applyFont="1" applyBorder="1"/>
    <xf numFmtId="0" fontId="50" fillId="0" borderId="5" xfId="0" applyFont="1" applyFill="1" applyBorder="1" applyAlignment="1" applyProtection="1">
      <alignment horizontal="center"/>
    </xf>
    <xf numFmtId="0" fontId="44" fillId="0" borderId="0" xfId="0" applyFont="1" applyFill="1" applyAlignment="1" applyProtection="1">
      <alignment horizontal="left"/>
    </xf>
    <xf numFmtId="4" fontId="44" fillId="8" borderId="5" xfId="0" applyNumberFormat="1" applyFont="1" applyFill="1" applyBorder="1" applyProtection="1"/>
    <xf numFmtId="3" fontId="68" fillId="8" borderId="5" xfId="0" applyNumberFormat="1" applyFont="1" applyFill="1" applyBorder="1" applyProtection="1"/>
    <xf numFmtId="193" fontId="68" fillId="0" borderId="5" xfId="0" applyNumberFormat="1" applyFont="1" applyFill="1" applyBorder="1" applyAlignment="1" applyProtection="1">
      <alignment horizontal="center"/>
    </xf>
    <xf numFmtId="4" fontId="47" fillId="0" borderId="5" xfId="0" applyNumberFormat="1" applyFont="1" applyBorder="1" applyAlignment="1">
      <alignment horizontal="center"/>
    </xf>
    <xf numFmtId="3" fontId="68" fillId="5" borderId="5" xfId="0" applyNumberFormat="1" applyFont="1" applyFill="1" applyBorder="1" applyProtection="1"/>
    <xf numFmtId="193" fontId="68" fillId="5" borderId="5" xfId="0" applyNumberFormat="1" applyFont="1" applyFill="1" applyBorder="1" applyAlignment="1" applyProtection="1">
      <alignment horizontal="center"/>
    </xf>
    <xf numFmtId="4" fontId="44" fillId="0" borderId="1" xfId="0" applyNumberFormat="1" applyFont="1" applyFill="1" applyBorder="1" applyProtection="1"/>
    <xf numFmtId="4" fontId="44" fillId="0" borderId="3" xfId="0" applyNumberFormat="1" applyFont="1" applyFill="1" applyBorder="1" applyProtection="1"/>
    <xf numFmtId="0" fontId="33" fillId="13" borderId="2" xfId="0" applyFont="1" applyFill="1" applyBorder="1" applyAlignment="1" applyProtection="1"/>
    <xf numFmtId="43" fontId="38" fillId="13" borderId="0" xfId="2" applyFont="1" applyFill="1" applyBorder="1" applyAlignment="1" applyProtection="1">
      <alignment horizontal="center"/>
      <protection locked="0"/>
    </xf>
    <xf numFmtId="192" fontId="38" fillId="13" borderId="0" xfId="2" applyNumberFormat="1" applyFont="1" applyFill="1" applyBorder="1" applyAlignment="1" applyProtection="1">
      <alignment horizontal="center"/>
      <protection locked="0"/>
    </xf>
    <xf numFmtId="0" fontId="31" fillId="13" borderId="7" xfId="0" applyFont="1" applyFill="1" applyBorder="1" applyAlignment="1" applyProtection="1">
      <alignment horizontal="left"/>
    </xf>
    <xf numFmtId="0" fontId="31" fillId="13" borderId="11" xfId="0" applyFont="1" applyFill="1" applyBorder="1" applyAlignment="1" applyProtection="1">
      <alignment horizontal="left"/>
    </xf>
    <xf numFmtId="0" fontId="38" fillId="13" borderId="11" xfId="0" applyFont="1" applyFill="1" applyBorder="1" applyAlignment="1" applyProtection="1">
      <alignment horizontal="center"/>
    </xf>
    <xf numFmtId="0" fontId="31" fillId="13" borderId="14" xfId="0" applyFont="1" applyFill="1" applyBorder="1" applyAlignment="1" applyProtection="1">
      <alignment horizontal="left"/>
    </xf>
    <xf numFmtId="0" fontId="33" fillId="13" borderId="0" xfId="0" applyFont="1" applyFill="1" applyProtection="1"/>
    <xf numFmtId="0" fontId="31" fillId="13" borderId="0" xfId="0" applyFont="1" applyFill="1" applyProtection="1"/>
    <xf numFmtId="191" fontId="51" fillId="0" borderId="5" xfId="0" applyNumberFormat="1" applyFont="1" applyFill="1" applyBorder="1" applyAlignment="1" applyProtection="1">
      <alignment horizontal="center"/>
    </xf>
    <xf numFmtId="193" fontId="31" fillId="0" borderId="0" xfId="0" applyNumberFormat="1" applyFont="1" applyFill="1" applyProtection="1"/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4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7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13" borderId="8" xfId="0" applyFont="1" applyFill="1" applyBorder="1" applyAlignment="1" applyProtection="1">
      <alignment horizontal="left"/>
    </xf>
    <xf numFmtId="0" fontId="33" fillId="13" borderId="9" xfId="0" applyFont="1" applyFill="1" applyBorder="1" applyAlignment="1" applyProtection="1">
      <alignment horizontal="left"/>
    </xf>
    <xf numFmtId="0" fontId="33" fillId="13" borderId="2" xfId="0" applyFont="1" applyFill="1" applyBorder="1" applyAlignment="1" applyProtection="1">
      <alignment horizontal="left"/>
    </xf>
    <xf numFmtId="0" fontId="33" fillId="13" borderId="0" xfId="0" applyFont="1" applyFill="1" applyBorder="1" applyAlignment="1" applyProtection="1">
      <alignment horizontal="left"/>
    </xf>
    <xf numFmtId="0" fontId="33" fillId="13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2" fillId="0" borderId="13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0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44" fillId="0" borderId="0" xfId="0" applyFont="1" applyFill="1" applyAlignment="1" applyProtection="1">
      <alignment horizontal="right"/>
    </xf>
    <xf numFmtId="0" fontId="44" fillId="0" borderId="10" xfId="0" applyFont="1" applyFill="1" applyBorder="1" applyAlignment="1" applyProtection="1">
      <alignment horizontal="right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4" xfId="0" applyFont="1" applyFill="1" applyBorder="1" applyAlignment="1" applyProtection="1">
      <alignment horizontal="center"/>
    </xf>
    <xf numFmtId="3" fontId="31" fillId="0" borderId="0" xfId="0" applyNumberFormat="1" applyFont="1" applyFill="1" applyAlignment="1" applyProtection="1">
      <alignment horizontal="left"/>
    </xf>
    <xf numFmtId="0" fontId="33" fillId="13" borderId="6" xfId="0" applyFont="1" applyFill="1" applyBorder="1" applyAlignment="1" applyProtection="1">
      <alignment horizontal="left"/>
    </xf>
    <xf numFmtId="49" fontId="33" fillId="0" borderId="11" xfId="0" applyNumberFormat="1" applyFont="1" applyFill="1" applyBorder="1" applyAlignment="1" applyProtection="1">
      <alignment horizontal="center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3" fontId="31" fillId="0" borderId="5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Border="1" applyAlignment="1" applyProtection="1">
      <alignment horizontal="center"/>
    </xf>
    <xf numFmtId="3" fontId="31" fillId="0" borderId="16" xfId="0" applyNumberFormat="1" applyFont="1" applyFill="1" applyBorder="1" applyAlignment="1" applyProtection="1">
      <alignment horizontal="center"/>
    </xf>
    <xf numFmtId="3" fontId="31" fillId="0" borderId="18" xfId="0" applyNumberFormat="1" applyFont="1" applyFill="1" applyBorder="1" applyAlignment="1" applyProtection="1">
      <alignment horizontal="center"/>
    </xf>
    <xf numFmtId="4" fontId="31" fillId="0" borderId="7" xfId="0" applyNumberFormat="1" applyFont="1" applyFill="1" applyBorder="1" applyAlignment="1" applyProtection="1">
      <alignment horizontal="center"/>
    </xf>
    <xf numFmtId="4" fontId="31" fillId="0" borderId="14" xfId="0" applyNumberFormat="1" applyFont="1" applyFill="1" applyBorder="1" applyAlignment="1" applyProtection="1">
      <alignment horizontal="center"/>
    </xf>
    <xf numFmtId="4" fontId="31" fillId="0" borderId="6" xfId="0" applyNumberFormat="1" applyFont="1" applyFill="1" applyBorder="1" applyAlignment="1" applyProtection="1">
      <alignment horizontal="center"/>
    </xf>
    <xf numFmtId="4" fontId="31" fillId="0" borderId="9" xfId="0" applyNumberFormat="1" applyFont="1" applyFill="1" applyBorder="1" applyAlignment="1" applyProtection="1">
      <alignment horizontal="center"/>
    </xf>
    <xf numFmtId="4" fontId="31" fillId="0" borderId="2" xfId="0" applyNumberFormat="1" applyFont="1" applyFill="1" applyBorder="1" applyAlignment="1" applyProtection="1">
      <alignment horizontal="center"/>
    </xf>
    <xf numFmtId="4" fontId="31" fillId="0" borderId="10" xfId="0" applyNumberFormat="1" applyFont="1" applyFill="1" applyBorder="1" applyAlignment="1" applyProtection="1">
      <alignment horizontal="center"/>
    </xf>
    <xf numFmtId="4" fontId="31" fillId="0" borderId="5" xfId="0" applyNumberFormat="1" applyFont="1" applyFill="1" applyBorder="1" applyAlignment="1" applyProtection="1">
      <alignment horizontal="center"/>
    </xf>
    <xf numFmtId="4" fontId="44" fillId="0" borderId="5" xfId="0" applyNumberFormat="1" applyFont="1" applyFill="1" applyBorder="1" applyAlignment="1" applyProtection="1">
      <alignment horizontal="center"/>
    </xf>
    <xf numFmtId="4" fontId="50" fillId="0" borderId="5" xfId="0" applyNumberFormat="1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horizontal="center" vertical="center"/>
    </xf>
    <xf numFmtId="0" fontId="33" fillId="0" borderId="9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/>
    </xf>
    <xf numFmtId="0" fontId="33" fillId="0" borderId="18" xfId="0" applyFont="1" applyFill="1" applyBorder="1" applyAlignment="1" applyProtection="1">
      <alignment horizontal="center"/>
    </xf>
    <xf numFmtId="0" fontId="32" fillId="0" borderId="22" xfId="0" applyFont="1" applyFill="1" applyBorder="1" applyAlignment="1" applyProtection="1">
      <alignment horizontal="center"/>
    </xf>
    <xf numFmtId="0" fontId="32" fillId="0" borderId="23" xfId="0" applyFont="1" applyFill="1" applyBorder="1" applyAlignment="1" applyProtection="1">
      <alignment horizontal="center"/>
    </xf>
    <xf numFmtId="4" fontId="47" fillId="0" borderId="5" xfId="0" applyNumberFormat="1" applyFont="1" applyBorder="1" applyAlignment="1">
      <alignment horizontal="center"/>
    </xf>
    <xf numFmtId="2" fontId="66" fillId="0" borderId="5" xfId="0" applyNumberFormat="1" applyFont="1" applyBorder="1" applyAlignment="1">
      <alignment horizontal="center"/>
    </xf>
    <xf numFmtId="0" fontId="66" fillId="0" borderId="5" xfId="0" applyFont="1" applyBorder="1" applyAlignment="1">
      <alignment horizontal="center"/>
    </xf>
    <xf numFmtId="2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2" fontId="59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8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1" fillId="0" borderId="0" xfId="0" applyFont="1" applyBorder="1" applyAlignment="1">
      <alignment horizontal="left"/>
    </xf>
    <xf numFmtId="0" fontId="61" fillId="0" borderId="10" xfId="0" applyFont="1" applyBorder="1" applyAlignment="1">
      <alignment horizontal="left"/>
    </xf>
    <xf numFmtId="0" fontId="61" fillId="0" borderId="6" xfId="0" applyFont="1" applyBorder="1" applyAlignment="1">
      <alignment horizontal="left"/>
    </xf>
    <xf numFmtId="0" fontId="61" fillId="0" borderId="8" xfId="0" applyFont="1" applyBorder="1" applyAlignment="1">
      <alignment horizontal="left"/>
    </xf>
    <xf numFmtId="0" fontId="61" fillId="0" borderId="9" xfId="0" applyFont="1" applyBorder="1" applyAlignment="1">
      <alignment horizontal="left"/>
    </xf>
    <xf numFmtId="0" fontId="61" fillId="0" borderId="7" xfId="0" applyFont="1" applyBorder="1" applyAlignment="1">
      <alignment horizontal="left"/>
    </xf>
    <xf numFmtId="0" fontId="61" fillId="0" borderId="11" xfId="0" applyFont="1" applyBorder="1" applyAlignment="1">
      <alignment horizontal="left"/>
    </xf>
    <xf numFmtId="0" fontId="61" fillId="0" borderId="14" xfId="0" applyFont="1" applyBorder="1" applyAlignment="1">
      <alignment horizontal="left"/>
    </xf>
    <xf numFmtId="0" fontId="61" fillId="0" borderId="16" xfId="0" applyFont="1" applyBorder="1" applyAlignment="1">
      <alignment horizontal="left"/>
    </xf>
    <xf numFmtId="0" fontId="61" fillId="0" borderId="17" xfId="0" applyFont="1" applyBorder="1" applyAlignment="1">
      <alignment horizontal="left"/>
    </xf>
    <xf numFmtId="0" fontId="61" fillId="0" borderId="18" xfId="0" applyFont="1" applyBorder="1" applyAlignment="1">
      <alignment horizontal="left"/>
    </xf>
    <xf numFmtId="0" fontId="62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/>
    </xf>
  </cellXfs>
  <cellStyles count="7">
    <cellStyle name="Hyperlink" xfId="1" builtinId="8"/>
    <cellStyle name="เครื่องหมายจุลภาค" xfId="2" builtinId="3"/>
    <cellStyle name="เครื่องหมายจุลภาค_Sheet1" xfId="6"/>
    <cellStyle name="ปกติ" xfId="0" builtinId="0"/>
    <cellStyle name="ปกติ 2" xfId="3"/>
    <cellStyle name="ปกติ_Sheet1" xfId="5"/>
    <cellStyle name="เปอร์เซ็นต์" xfId="4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43</xdr:row>
      <xdr:rowOff>257175</xdr:rowOff>
    </xdr:from>
    <xdr:to>
      <xdr:col>22</xdr:col>
      <xdr:colOff>914400</xdr:colOff>
      <xdr:row>44</xdr:row>
      <xdr:rowOff>219075</xdr:rowOff>
    </xdr:to>
    <xdr:sp macro="" textlink="">
      <xdr:nvSpPr>
        <xdr:cNvPr id="4" name="ลูกศรขวา 3"/>
        <xdr:cNvSpPr/>
      </xdr:nvSpPr>
      <xdr:spPr>
        <a:xfrm>
          <a:off x="12563475" y="13363575"/>
          <a:ext cx="7553325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323850</xdr:colOff>
      <xdr:row>34</xdr:row>
      <xdr:rowOff>9525</xdr:rowOff>
    </xdr:from>
    <xdr:to>
      <xdr:col>14</xdr:col>
      <xdr:colOff>209550</xdr:colOff>
      <xdr:row>34</xdr:row>
      <xdr:rowOff>276225</xdr:rowOff>
    </xdr:to>
    <xdr:sp macro="" textlink="">
      <xdr:nvSpPr>
        <xdr:cNvPr id="5" name="ลูกศรขวา 4"/>
        <xdr:cNvSpPr/>
      </xdr:nvSpPr>
      <xdr:spPr>
        <a:xfrm>
          <a:off x="12773025" y="10372725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48</xdr:row>
      <xdr:rowOff>266700</xdr:rowOff>
    </xdr:from>
    <xdr:to>
      <xdr:col>13</xdr:col>
      <xdr:colOff>552450</xdr:colOff>
      <xdr:row>49</xdr:row>
      <xdr:rowOff>228600</xdr:rowOff>
    </xdr:to>
    <xdr:sp macro="" textlink="">
      <xdr:nvSpPr>
        <xdr:cNvPr id="6" name="ลูกศรขวา 5"/>
        <xdr:cNvSpPr/>
      </xdr:nvSpPr>
      <xdr:spPr>
        <a:xfrm>
          <a:off x="12506325" y="148971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409575</xdr:colOff>
      <xdr:row>52</xdr:row>
      <xdr:rowOff>19050</xdr:rowOff>
    </xdr:from>
    <xdr:to>
      <xdr:col>14</xdr:col>
      <xdr:colOff>295275</xdr:colOff>
      <xdr:row>52</xdr:row>
      <xdr:rowOff>285750</xdr:rowOff>
    </xdr:to>
    <xdr:sp macro="" textlink="">
      <xdr:nvSpPr>
        <xdr:cNvPr id="7" name="ลูกศรขวา 6"/>
        <xdr:cNvSpPr/>
      </xdr:nvSpPr>
      <xdr:spPr>
        <a:xfrm>
          <a:off x="12858750" y="1617345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304800</xdr:colOff>
      <xdr:row>27</xdr:row>
      <xdr:rowOff>38100</xdr:rowOff>
    </xdr:from>
    <xdr:to>
      <xdr:col>15</xdr:col>
      <xdr:colOff>514350</xdr:colOff>
      <xdr:row>28</xdr:row>
      <xdr:rowOff>0</xdr:rowOff>
    </xdr:to>
    <xdr:sp macro="" textlink="">
      <xdr:nvSpPr>
        <xdr:cNvPr id="8" name="ลูกศรขวา 7"/>
        <xdr:cNvSpPr/>
      </xdr:nvSpPr>
      <xdr:spPr>
        <a:xfrm>
          <a:off x="12753975" y="8267700"/>
          <a:ext cx="14859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257176</xdr:colOff>
      <xdr:row>0</xdr:row>
      <xdr:rowOff>257175</xdr:rowOff>
    </xdr:from>
    <xdr:to>
      <xdr:col>25</xdr:col>
      <xdr:colOff>7534275</xdr:colOff>
      <xdr:row>1</xdr:row>
      <xdr:rowOff>219075</xdr:rowOff>
    </xdr:to>
    <xdr:sp macro="" textlink="">
      <xdr:nvSpPr>
        <xdr:cNvPr id="9" name="ลูกศรขวา 8"/>
        <xdr:cNvSpPr/>
      </xdr:nvSpPr>
      <xdr:spPr>
        <a:xfrm>
          <a:off x="13982701" y="257175"/>
          <a:ext cx="15430499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247651</xdr:colOff>
      <xdr:row>1</xdr:row>
      <xdr:rowOff>57150</xdr:rowOff>
    </xdr:from>
    <xdr:to>
      <xdr:col>15</xdr:col>
      <xdr:colOff>390525</xdr:colOff>
      <xdr:row>21</xdr:row>
      <xdr:rowOff>123825</xdr:rowOff>
    </xdr:to>
    <xdr:sp macro="" textlink="">
      <xdr:nvSpPr>
        <xdr:cNvPr id="10" name="สี่เหลี่ยมผืนผ้า 9"/>
        <xdr:cNvSpPr/>
      </xdr:nvSpPr>
      <xdr:spPr>
        <a:xfrm>
          <a:off x="13973176" y="361950"/>
          <a:ext cx="142874" cy="61626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304800</xdr:colOff>
      <xdr:row>20</xdr:row>
      <xdr:rowOff>257175</xdr:rowOff>
    </xdr:from>
    <xdr:to>
      <xdr:col>15</xdr:col>
      <xdr:colOff>380999</xdr:colOff>
      <xdr:row>21</xdr:row>
      <xdr:rowOff>114300</xdr:rowOff>
    </xdr:to>
    <xdr:sp macro="" textlink="">
      <xdr:nvSpPr>
        <xdr:cNvPr id="11" name="สี่เหลี่ยมผืนผ้า 10"/>
        <xdr:cNvSpPr/>
      </xdr:nvSpPr>
      <xdr:spPr>
        <a:xfrm>
          <a:off x="12753975" y="6353175"/>
          <a:ext cx="1352549" cy="161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200025</xdr:colOff>
      <xdr:row>85</xdr:row>
      <xdr:rowOff>28575</xdr:rowOff>
    </xdr:from>
    <xdr:to>
      <xdr:col>16</xdr:col>
      <xdr:colOff>390525</xdr:colOff>
      <xdr:row>85</xdr:row>
      <xdr:rowOff>295275</xdr:rowOff>
    </xdr:to>
    <xdr:sp macro="" textlink="">
      <xdr:nvSpPr>
        <xdr:cNvPr id="12" name="ลูกศรขวา 11"/>
        <xdr:cNvSpPr/>
      </xdr:nvSpPr>
      <xdr:spPr>
        <a:xfrm>
          <a:off x="13315950" y="26184225"/>
          <a:ext cx="14097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27</xdr:row>
      <xdr:rowOff>38100</xdr:rowOff>
    </xdr:from>
    <xdr:to>
      <xdr:col>15</xdr:col>
      <xdr:colOff>485775</xdr:colOff>
      <xdr:row>27</xdr:row>
      <xdr:rowOff>209550</xdr:rowOff>
    </xdr:to>
    <xdr:sp macro="" textlink="">
      <xdr:nvSpPr>
        <xdr:cNvPr id="2" name="ลูกศรขวา 1"/>
        <xdr:cNvSpPr/>
      </xdr:nvSpPr>
      <xdr:spPr>
        <a:xfrm>
          <a:off x="12563475" y="8267700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133350</xdr:colOff>
      <xdr:row>21</xdr:row>
      <xdr:rowOff>66675</xdr:rowOff>
    </xdr:from>
    <xdr:to>
      <xdr:col>15</xdr:col>
      <xdr:colOff>504825</xdr:colOff>
      <xdr:row>21</xdr:row>
      <xdr:rowOff>238125</xdr:rowOff>
    </xdr:to>
    <xdr:sp macro="" textlink="">
      <xdr:nvSpPr>
        <xdr:cNvPr id="3" name="ลูกศรขวา 2"/>
        <xdr:cNvSpPr/>
      </xdr:nvSpPr>
      <xdr:spPr>
        <a:xfrm>
          <a:off x="12582525" y="6467475"/>
          <a:ext cx="1590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62700"/>
          <a:ext cx="4953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21</xdr:row>
      <xdr:rowOff>57150</xdr:rowOff>
    </xdr:from>
    <xdr:to>
      <xdr:col>14</xdr:col>
      <xdr:colOff>238125</xdr:colOff>
      <xdr:row>21</xdr:row>
      <xdr:rowOff>219075</xdr:rowOff>
    </xdr:to>
    <xdr:sp macro="" textlink="">
      <xdr:nvSpPr>
        <xdr:cNvPr id="2" name="ลูกศรขวา 1"/>
        <xdr:cNvSpPr/>
      </xdr:nvSpPr>
      <xdr:spPr>
        <a:xfrm>
          <a:off x="12544425" y="64198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57150</xdr:colOff>
      <xdr:row>11</xdr:row>
      <xdr:rowOff>219075</xdr:rowOff>
    </xdr:from>
    <xdr:to>
      <xdr:col>14</xdr:col>
      <xdr:colOff>200025</xdr:colOff>
      <xdr:row>12</xdr:row>
      <xdr:rowOff>76200</xdr:rowOff>
    </xdr:to>
    <xdr:sp macro="" textlink="">
      <xdr:nvSpPr>
        <xdr:cNvPr id="3" name="ลูกศรขวา 2"/>
        <xdr:cNvSpPr/>
      </xdr:nvSpPr>
      <xdr:spPr>
        <a:xfrm>
          <a:off x="12506325" y="3571875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95250</xdr:colOff>
      <xdr:row>27</xdr:row>
      <xdr:rowOff>276225</xdr:rowOff>
    </xdr:from>
    <xdr:to>
      <xdr:col>14</xdr:col>
      <xdr:colOff>238125</xdr:colOff>
      <xdr:row>28</xdr:row>
      <xdr:rowOff>114300</xdr:rowOff>
    </xdr:to>
    <xdr:sp macro="" textlink="">
      <xdr:nvSpPr>
        <xdr:cNvPr id="4" name="ลูกศรขวา 3"/>
        <xdr:cNvSpPr/>
      </xdr:nvSpPr>
      <xdr:spPr>
        <a:xfrm>
          <a:off x="12544425" y="8439150"/>
          <a:ext cx="75247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20</xdr:row>
      <xdr:rowOff>266700</xdr:rowOff>
    </xdr:from>
    <xdr:to>
      <xdr:col>13</xdr:col>
      <xdr:colOff>552450</xdr:colOff>
      <xdr:row>21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63341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13</xdr:col>
      <xdr:colOff>85724</xdr:colOff>
      <xdr:row>13</xdr:row>
      <xdr:rowOff>180975</xdr:rowOff>
    </xdr:from>
    <xdr:to>
      <xdr:col>14</xdr:col>
      <xdr:colOff>228599</xdr:colOff>
      <xdr:row>14</xdr:row>
      <xdr:rowOff>133350</xdr:rowOff>
    </xdr:to>
    <xdr:sp macro="" textlink="">
      <xdr:nvSpPr>
        <xdr:cNvPr id="3" name="ลูกศรขวา 2"/>
        <xdr:cNvSpPr/>
      </xdr:nvSpPr>
      <xdr:spPr>
        <a:xfrm>
          <a:off x="12534899" y="4143375"/>
          <a:ext cx="7524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25</xdr:row>
      <xdr:rowOff>57150</xdr:rowOff>
    </xdr:from>
    <xdr:to>
      <xdr:col>14</xdr:col>
      <xdr:colOff>542924</xdr:colOff>
      <xdr:row>26</xdr:row>
      <xdr:rowOff>19050</xdr:rowOff>
    </xdr:to>
    <xdr:sp macro="" textlink="">
      <xdr:nvSpPr>
        <xdr:cNvPr id="2" name="ลูกศรขวา 1"/>
        <xdr:cNvSpPr/>
      </xdr:nvSpPr>
      <xdr:spPr>
        <a:xfrm>
          <a:off x="12734924" y="7629525"/>
          <a:ext cx="866775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27</xdr:row>
      <xdr:rowOff>66675</xdr:rowOff>
    </xdr:from>
    <xdr:to>
      <xdr:col>14</xdr:col>
      <xdr:colOff>561975</xdr:colOff>
      <xdr:row>28</xdr:row>
      <xdr:rowOff>28575</xdr:rowOff>
    </xdr:to>
    <xdr:sp macro="" textlink="">
      <xdr:nvSpPr>
        <xdr:cNvPr id="2" name="ลูกศรขวา 1"/>
        <xdr:cNvSpPr/>
      </xdr:nvSpPr>
      <xdr:spPr>
        <a:xfrm>
          <a:off x="13125450" y="820102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33</xdr:row>
      <xdr:rowOff>266700</xdr:rowOff>
    </xdr:from>
    <xdr:to>
      <xdr:col>13</xdr:col>
      <xdr:colOff>552450</xdr:colOff>
      <xdr:row>34</xdr:row>
      <xdr:rowOff>228600</xdr:rowOff>
    </xdr:to>
    <xdr:sp macro="" textlink="">
      <xdr:nvSpPr>
        <xdr:cNvPr id="2" name="ลูกศรขวา 1"/>
        <xdr:cNvSpPr/>
      </xdr:nvSpPr>
      <xdr:spPr>
        <a:xfrm>
          <a:off x="12506325" y="10115550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27</xdr:row>
      <xdr:rowOff>28575</xdr:rowOff>
    </xdr:from>
    <xdr:to>
      <xdr:col>13</xdr:col>
      <xdr:colOff>571500</xdr:colOff>
      <xdr:row>27</xdr:row>
      <xdr:rowOff>285750</xdr:rowOff>
    </xdr:to>
    <xdr:sp macro="" textlink="">
      <xdr:nvSpPr>
        <xdr:cNvPr id="2" name="ลูกศรขวา 1"/>
        <xdr:cNvSpPr/>
      </xdr:nvSpPr>
      <xdr:spPr>
        <a:xfrm>
          <a:off x="12525375" y="8105775"/>
          <a:ext cx="495300" cy="2571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&#3588;&#3635;&#3619;&#3633;&#3610;&#3619;&#3629;&#3591;2556\&#3619;&#3634;&#3618;&#3591;&#3634;&#3609;&#3588;&#3635;&#3619;&#3633;&#3610;&#3619;&#3629;&#3591;&#3611;&#3619;&#3632;&#3592;&#3635;&#3648;&#3604;&#3639;&#3629;&#3609;\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585;&#3626;8\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585;&#3626;14\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612;&#3629;&#3611;.&#3588;&#3597;\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\Desktop\LSPROOM\&#3588;&#3635;&#3619;&#3633;&#3610;&#3619;&#3629;&#3591;2556\&#3619;&#3634;&#3618;&#3591;&#3634;&#3609;&#3588;&#3635;&#3619;&#3633;&#3610;&#3619;&#3629;&#3591;&#3611;&#3619;&#3632;&#3592;&#3635;&#3648;&#3604;&#3639;&#3629;&#3609;\&#3619;&#3629;&#3610;%2011%20&#3648;&#3604;&#3639;&#3629;&#3609;%20(&#3605;&#3588;55%20-%20&#3626;&#3588;56)\&#3612;&#3629;&#3611;.&#3588;&#3597;\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 x14ac:dyDescent="0.5">
      <c r="A1" s="792" t="s">
        <v>0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</row>
    <row r="2" spans="1:16" ht="27.75" x14ac:dyDescent="0.5">
      <c r="A2" s="792" t="s">
        <v>45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</row>
    <row r="3" spans="1:16" ht="26.25" customHeight="1" x14ac:dyDescent="0.5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 x14ac:dyDescent="0.5">
      <c r="A4" s="123" t="s">
        <v>1</v>
      </c>
      <c r="B4" s="123" t="s">
        <v>2</v>
      </c>
      <c r="C4" s="794" t="s">
        <v>3</v>
      </c>
      <c r="D4" s="794"/>
      <c r="E4" s="794"/>
      <c r="F4" s="794"/>
      <c r="G4" s="794"/>
      <c r="H4" s="795" t="s">
        <v>4</v>
      </c>
      <c r="I4" s="796"/>
      <c r="J4" s="796"/>
      <c r="K4" s="797"/>
      <c r="L4" s="801" t="s">
        <v>5</v>
      </c>
      <c r="M4" s="124" t="s">
        <v>6</v>
      </c>
    </row>
    <row r="5" spans="1:16" s="125" customFormat="1" ht="24.75" customHeight="1" x14ac:dyDescent="0.5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798"/>
      <c r="I5" s="799"/>
      <c r="J5" s="799"/>
      <c r="K5" s="800"/>
      <c r="L5" s="801"/>
      <c r="M5" s="128" t="s">
        <v>9</v>
      </c>
    </row>
    <row r="6" spans="1:16" ht="23.25" customHeight="1" x14ac:dyDescent="0.5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 x14ac:dyDescent="0.5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 x14ac:dyDescent="0.5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 x14ac:dyDescent="0.5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805" t="s">
        <v>14</v>
      </c>
      <c r="I9" s="806"/>
      <c r="J9" s="807" t="s">
        <v>15</v>
      </c>
      <c r="K9" s="807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 x14ac:dyDescent="0.5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805"/>
      <c r="I10" s="806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 x14ac:dyDescent="0.5">
      <c r="A11" s="144"/>
      <c r="B11" s="137"/>
      <c r="C11" s="156"/>
      <c r="D11" s="156"/>
      <c r="E11" s="156"/>
      <c r="F11" s="156"/>
      <c r="G11" s="156"/>
      <c r="H11" s="808" t="s">
        <v>19</v>
      </c>
      <c r="I11" s="809"/>
      <c r="J11" s="73">
        <v>19000</v>
      </c>
      <c r="K11" s="64" t="s">
        <v>11</v>
      </c>
      <c r="L11" s="143"/>
      <c r="M11" s="143"/>
    </row>
    <row r="12" spans="1:16" ht="23.25" customHeight="1" x14ac:dyDescent="0.5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 x14ac:dyDescent="0.5">
      <c r="A13" s="144"/>
      <c r="B13" s="145"/>
      <c r="C13" s="158"/>
      <c r="D13" s="158"/>
      <c r="E13" s="158"/>
      <c r="F13" s="158"/>
      <c r="G13" s="158"/>
      <c r="H13" s="802" t="s">
        <v>42</v>
      </c>
      <c r="I13" s="804"/>
      <c r="J13" s="86"/>
      <c r="K13" s="87"/>
      <c r="L13" s="143"/>
      <c r="M13" s="143"/>
    </row>
    <row r="14" spans="1:16" ht="23.25" customHeight="1" x14ac:dyDescent="0.5">
      <c r="A14" s="144"/>
      <c r="B14" s="145"/>
      <c r="C14" s="158"/>
      <c r="D14" s="158"/>
      <c r="E14" s="158"/>
      <c r="F14" s="158"/>
      <c r="G14" s="158"/>
      <c r="H14" s="810" t="s">
        <v>43</v>
      </c>
      <c r="I14" s="811"/>
      <c r="J14" s="88"/>
      <c r="K14" s="89"/>
      <c r="L14" s="143"/>
      <c r="M14" s="143"/>
    </row>
    <row r="15" spans="1:16" ht="23.25" customHeight="1" thickBot="1" x14ac:dyDescent="0.55000000000000004">
      <c r="A15" s="144"/>
      <c r="B15" s="145"/>
      <c r="C15" s="158"/>
      <c r="D15" s="158"/>
      <c r="E15" s="158"/>
      <c r="F15" s="158"/>
      <c r="G15" s="158"/>
      <c r="H15" s="812" t="s">
        <v>20</v>
      </c>
      <c r="I15" s="812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 x14ac:dyDescent="0.5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 x14ac:dyDescent="0.5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813" t="s">
        <v>46</v>
      </c>
      <c r="I17" s="814"/>
      <c r="J17" s="814"/>
      <c r="K17" s="815"/>
      <c r="L17" s="134">
        <f>'[1]6 เดือน'!$L$17</f>
        <v>1</v>
      </c>
      <c r="M17" s="135">
        <f>IF(L17=0,"-",ROUND(L17*B17/B$94,4))</f>
        <v>0.05</v>
      </c>
    </row>
    <row r="18" spans="1:13" ht="23.25" customHeight="1" x14ac:dyDescent="0.5">
      <c r="A18" s="144" t="s">
        <v>44</v>
      </c>
      <c r="B18" s="145"/>
      <c r="C18" s="158"/>
      <c r="D18" s="158"/>
      <c r="E18" s="158"/>
      <c r="F18" s="158"/>
      <c r="G18" s="158"/>
      <c r="H18" s="802" t="s">
        <v>47</v>
      </c>
      <c r="I18" s="803"/>
      <c r="J18" s="803"/>
      <c r="K18" s="804"/>
      <c r="L18" s="143"/>
      <c r="M18" s="143"/>
    </row>
    <row r="19" spans="1:13" ht="23.25" customHeight="1" x14ac:dyDescent="0.5">
      <c r="A19" s="162"/>
      <c r="B19" s="145"/>
      <c r="C19" s="158"/>
      <c r="D19" s="158"/>
      <c r="E19" s="158"/>
      <c r="F19" s="158"/>
      <c r="G19" s="158"/>
      <c r="H19" s="802" t="s">
        <v>48</v>
      </c>
      <c r="I19" s="803"/>
      <c r="J19" s="803"/>
      <c r="K19" s="804"/>
      <c r="L19" s="143"/>
      <c r="M19" s="143"/>
    </row>
    <row r="20" spans="1:13" ht="23.25" customHeight="1" x14ac:dyDescent="0.5">
      <c r="A20" s="162"/>
      <c r="B20" s="145"/>
      <c r="C20" s="158"/>
      <c r="D20" s="158"/>
      <c r="E20" s="158"/>
      <c r="F20" s="158"/>
      <c r="G20" s="158"/>
      <c r="H20" s="802" t="s">
        <v>49</v>
      </c>
      <c r="I20" s="803"/>
      <c r="J20" s="803"/>
      <c r="K20" s="804"/>
      <c r="L20" s="143"/>
      <c r="M20" s="143"/>
    </row>
    <row r="21" spans="1:13" ht="23.25" customHeight="1" x14ac:dyDescent="0.5">
      <c r="A21" s="162"/>
      <c r="B21" s="145"/>
      <c r="C21" s="158"/>
      <c r="D21" s="158"/>
      <c r="E21" s="158"/>
      <c r="F21" s="158"/>
      <c r="G21" s="158"/>
      <c r="H21" s="802" t="s">
        <v>50</v>
      </c>
      <c r="I21" s="803"/>
      <c r="J21" s="803"/>
      <c r="K21" s="804"/>
      <c r="L21" s="143"/>
      <c r="M21" s="143"/>
    </row>
    <row r="22" spans="1:13" ht="23.25" customHeight="1" x14ac:dyDescent="0.5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 x14ac:dyDescent="0.5">
      <c r="A23" s="166"/>
      <c r="B23" s="167"/>
      <c r="C23" s="146"/>
      <c r="D23" s="146"/>
      <c r="E23" s="146"/>
      <c r="F23" s="146"/>
      <c r="G23" s="146"/>
      <c r="H23" s="816"/>
      <c r="I23" s="817"/>
      <c r="J23" s="817"/>
      <c r="K23" s="818"/>
      <c r="L23" s="168"/>
      <c r="M23" s="168"/>
    </row>
    <row r="24" spans="1:13" ht="23.25" customHeight="1" x14ac:dyDescent="0.5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814" t="s">
        <v>82</v>
      </c>
      <c r="I24" s="814"/>
      <c r="J24" s="814"/>
      <c r="K24" s="815"/>
      <c r="L24" s="134">
        <f>'[1]6 เดือน'!$L$24</f>
        <v>1</v>
      </c>
      <c r="M24" s="135">
        <f>IF(L24=0,"-",ROUND(L24*B24/B$94,4))</f>
        <v>0.1</v>
      </c>
    </row>
    <row r="25" spans="1:13" ht="23.25" customHeight="1" x14ac:dyDescent="0.5">
      <c r="A25" s="144" t="s">
        <v>21</v>
      </c>
      <c r="B25" s="145"/>
      <c r="C25" s="158"/>
      <c r="D25" s="158"/>
      <c r="E25" s="158"/>
      <c r="F25" s="158"/>
      <c r="G25" s="158"/>
      <c r="H25" s="802" t="s">
        <v>83</v>
      </c>
      <c r="I25" s="803"/>
      <c r="J25" s="803"/>
      <c r="K25" s="804"/>
      <c r="L25" s="143"/>
      <c r="M25" s="143"/>
    </row>
    <row r="26" spans="1:13" ht="23.25" customHeight="1" x14ac:dyDescent="0.5">
      <c r="A26" s="169"/>
      <c r="B26" s="145"/>
      <c r="C26" s="158"/>
      <c r="D26" s="158"/>
      <c r="E26" s="158"/>
      <c r="F26" s="158"/>
      <c r="G26" s="158"/>
      <c r="H26" s="802" t="s">
        <v>55</v>
      </c>
      <c r="I26" s="803"/>
      <c r="J26" s="803"/>
      <c r="K26" s="804"/>
      <c r="L26" s="143"/>
      <c r="M26" s="143"/>
    </row>
    <row r="27" spans="1:13" ht="23.25" customHeight="1" x14ac:dyDescent="0.5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 x14ac:dyDescent="0.5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 x14ac:dyDescent="0.5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813" t="s">
        <v>57</v>
      </c>
      <c r="I29" s="814"/>
      <c r="J29" s="814"/>
      <c r="K29" s="815"/>
      <c r="L29" s="134">
        <f>'[1]6 เดือน'!$L$29</f>
        <v>1</v>
      </c>
      <c r="M29" s="135">
        <f>IF(L29=0,"-",ROUND(L29*B29/B$94,4))</f>
        <v>0.05</v>
      </c>
    </row>
    <row r="30" spans="1:13" ht="24.75" customHeight="1" x14ac:dyDescent="0.5">
      <c r="A30" s="144" t="s">
        <v>23</v>
      </c>
      <c r="B30" s="145"/>
      <c r="C30" s="158"/>
      <c r="D30" s="158"/>
      <c r="E30" s="158"/>
      <c r="F30" s="158"/>
      <c r="G30" s="158"/>
      <c r="H30" s="802" t="s">
        <v>58</v>
      </c>
      <c r="I30" s="803"/>
      <c r="J30" s="803"/>
      <c r="K30" s="804"/>
      <c r="L30" s="143"/>
      <c r="M30" s="143"/>
    </row>
    <row r="31" spans="1:13" ht="24.75" customHeight="1" x14ac:dyDescent="0.5">
      <c r="A31" s="144" t="s">
        <v>24</v>
      </c>
      <c r="B31" s="145"/>
      <c r="C31" s="158"/>
      <c r="D31" s="158"/>
      <c r="E31" s="158"/>
      <c r="F31" s="158"/>
      <c r="G31" s="158"/>
      <c r="H31" s="802" t="s">
        <v>77</v>
      </c>
      <c r="I31" s="803"/>
      <c r="J31" s="803"/>
      <c r="K31" s="804"/>
      <c r="L31" s="143"/>
      <c r="M31" s="143"/>
    </row>
    <row r="32" spans="1:13" ht="24.75" customHeight="1" x14ac:dyDescent="0.5">
      <c r="A32" s="169"/>
      <c r="B32" s="145"/>
      <c r="C32" s="158"/>
      <c r="D32" s="158"/>
      <c r="E32" s="158"/>
      <c r="F32" s="158"/>
      <c r="G32" s="158"/>
      <c r="H32" s="802" t="s">
        <v>59</v>
      </c>
      <c r="I32" s="803"/>
      <c r="J32" s="803"/>
      <c r="K32" s="804"/>
      <c r="L32" s="143"/>
      <c r="M32" s="143"/>
    </row>
    <row r="33" spans="1:13" ht="24.75" customHeight="1" x14ac:dyDescent="0.5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 x14ac:dyDescent="0.5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 x14ac:dyDescent="0.5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813" t="s">
        <v>73</v>
      </c>
      <c r="I35" s="814"/>
      <c r="J35" s="814"/>
      <c r="K35" s="815"/>
      <c r="L35" s="134">
        <v>1</v>
      </c>
      <c r="M35" s="135">
        <f>IF(L35=0,"-",ROUND(L35*B35/B$94,4))</f>
        <v>0.1</v>
      </c>
    </row>
    <row r="36" spans="1:13" ht="24.75" customHeight="1" x14ac:dyDescent="0.5">
      <c r="A36" s="144" t="s">
        <v>26</v>
      </c>
      <c r="B36" s="145"/>
      <c r="C36" s="158"/>
      <c r="D36" s="158"/>
      <c r="E36" s="158"/>
      <c r="F36" s="158"/>
      <c r="G36" s="158"/>
      <c r="H36" s="819" t="s">
        <v>74</v>
      </c>
      <c r="I36" s="820"/>
      <c r="J36" s="820"/>
      <c r="K36" s="821"/>
      <c r="L36" s="143"/>
      <c r="M36" s="143"/>
    </row>
    <row r="37" spans="1:13" ht="24.75" customHeight="1" x14ac:dyDescent="0.5">
      <c r="A37" s="169"/>
      <c r="B37" s="145"/>
      <c r="C37" s="158"/>
      <c r="D37" s="158"/>
      <c r="E37" s="158"/>
      <c r="F37" s="158"/>
      <c r="G37" s="158"/>
      <c r="H37" s="819" t="s">
        <v>75</v>
      </c>
      <c r="I37" s="820"/>
      <c r="J37" s="820"/>
      <c r="K37" s="821"/>
      <c r="L37" s="143"/>
      <c r="M37" s="143"/>
    </row>
    <row r="38" spans="1:13" ht="24.75" customHeight="1" x14ac:dyDescent="0.5">
      <c r="A38" s="169"/>
      <c r="B38" s="145"/>
      <c r="C38" s="158"/>
      <c r="D38" s="158"/>
      <c r="E38" s="158"/>
      <c r="F38" s="158"/>
      <c r="G38" s="158"/>
      <c r="H38" s="819" t="s">
        <v>76</v>
      </c>
      <c r="I38" s="822"/>
      <c r="J38" s="822"/>
      <c r="K38" s="823"/>
      <c r="L38" s="143"/>
      <c r="M38" s="143"/>
    </row>
    <row r="39" spans="1:13" ht="24.75" customHeight="1" x14ac:dyDescent="0.5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 x14ac:dyDescent="0.5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 x14ac:dyDescent="0.5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813" t="s">
        <v>62</v>
      </c>
      <c r="I41" s="814"/>
      <c r="J41" s="814"/>
      <c r="K41" s="815"/>
      <c r="L41" s="134">
        <f>'[1]6 เดือน'!$L$41</f>
        <v>1</v>
      </c>
      <c r="M41" s="135">
        <f>IF(L41=0,"-",ROUND(L41*B41/B$94,4))</f>
        <v>0.1</v>
      </c>
    </row>
    <row r="42" spans="1:13" ht="24.75" customHeight="1" x14ac:dyDescent="0.5">
      <c r="A42" s="144" t="s">
        <v>28</v>
      </c>
      <c r="B42" s="145"/>
      <c r="C42" s="182"/>
      <c r="D42" s="182"/>
      <c r="E42" s="182"/>
      <c r="F42" s="182"/>
      <c r="G42" s="182"/>
      <c r="H42" s="802" t="s">
        <v>63</v>
      </c>
      <c r="I42" s="803"/>
      <c r="J42" s="803"/>
      <c r="K42" s="804"/>
      <c r="L42" s="143"/>
      <c r="M42" s="143"/>
    </row>
    <row r="43" spans="1:13" ht="24.75" customHeight="1" x14ac:dyDescent="0.5">
      <c r="A43" s="144" t="s">
        <v>60</v>
      </c>
      <c r="B43" s="145"/>
      <c r="C43" s="182"/>
      <c r="D43" s="182"/>
      <c r="E43" s="182"/>
      <c r="F43" s="182"/>
      <c r="G43" s="182"/>
      <c r="H43" s="802" t="s">
        <v>64</v>
      </c>
      <c r="I43" s="803"/>
      <c r="J43" s="803"/>
      <c r="K43" s="804"/>
      <c r="L43" s="143"/>
      <c r="M43" s="143"/>
    </row>
    <row r="44" spans="1:13" ht="24.75" customHeight="1" x14ac:dyDescent="0.5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 x14ac:dyDescent="0.5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 x14ac:dyDescent="0.5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 x14ac:dyDescent="0.5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 x14ac:dyDescent="0.5">
      <c r="A48" s="144"/>
      <c r="B48" s="145"/>
      <c r="C48" s="182"/>
      <c r="D48" s="182"/>
      <c r="E48" s="182"/>
      <c r="F48" s="182"/>
      <c r="G48" s="182"/>
      <c r="H48" s="824"/>
      <c r="I48" s="817"/>
      <c r="J48" s="817"/>
      <c r="K48" s="818"/>
      <c r="L48" s="143"/>
      <c r="M48" s="143"/>
    </row>
    <row r="49" spans="1:13" ht="24.75" customHeight="1" x14ac:dyDescent="0.5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813" t="s">
        <v>78</v>
      </c>
      <c r="I49" s="814"/>
      <c r="J49" s="814"/>
      <c r="K49" s="815"/>
      <c r="L49" s="134">
        <f>'[1]6 เดือน'!$L$49</f>
        <v>1</v>
      </c>
      <c r="M49" s="135">
        <f>IF(L49=0,"-",ROUND(L49*B49/B$94,4))</f>
        <v>0.05</v>
      </c>
    </row>
    <row r="50" spans="1:13" ht="24.75" customHeight="1" x14ac:dyDescent="0.5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803" t="s">
        <v>79</v>
      </c>
      <c r="I50" s="803"/>
      <c r="J50" s="803"/>
      <c r="K50" s="804"/>
      <c r="L50" s="143"/>
      <c r="M50" s="143"/>
    </row>
    <row r="51" spans="1:13" ht="24.75" customHeight="1" x14ac:dyDescent="0.5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803" t="s">
        <v>80</v>
      </c>
      <c r="I51" s="803"/>
      <c r="J51" s="803"/>
      <c r="K51" s="804"/>
      <c r="L51" s="143"/>
      <c r="M51" s="143"/>
    </row>
    <row r="52" spans="1:13" ht="24.75" customHeight="1" x14ac:dyDescent="0.5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 x14ac:dyDescent="0.5">
      <c r="A53" s="186"/>
      <c r="B53" s="167"/>
      <c r="C53" s="146"/>
      <c r="D53" s="146"/>
      <c r="E53" s="146"/>
      <c r="F53" s="146"/>
      <c r="G53" s="146"/>
      <c r="H53" s="824"/>
      <c r="I53" s="825"/>
      <c r="J53" s="825"/>
      <c r="K53" s="826"/>
      <c r="L53" s="168"/>
      <c r="M53" s="168"/>
    </row>
    <row r="54" spans="1:13" ht="24.75" customHeight="1" x14ac:dyDescent="0.5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813" t="s">
        <v>99</v>
      </c>
      <c r="I54" s="814"/>
      <c r="J54" s="814"/>
      <c r="K54" s="815"/>
      <c r="L54" s="134">
        <v>1</v>
      </c>
      <c r="M54" s="135">
        <f>IF(L54=0,"-",ROUND(L54*B54/B$94,4))</f>
        <v>0.1</v>
      </c>
    </row>
    <row r="55" spans="1:13" ht="24.75" customHeight="1" x14ac:dyDescent="0.5">
      <c r="A55" s="144" t="s">
        <v>85</v>
      </c>
      <c r="B55" s="145"/>
      <c r="C55" s="182"/>
      <c r="D55" s="182"/>
      <c r="E55" s="182"/>
      <c r="F55" s="182"/>
      <c r="G55" s="182"/>
      <c r="H55" s="802" t="s">
        <v>100</v>
      </c>
      <c r="I55" s="803"/>
      <c r="J55" s="803"/>
      <c r="K55" s="804"/>
      <c r="L55" s="143"/>
      <c r="M55" s="143"/>
    </row>
    <row r="56" spans="1:13" ht="24.75" customHeight="1" x14ac:dyDescent="0.5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 x14ac:dyDescent="0.5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 x14ac:dyDescent="0.5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 x14ac:dyDescent="0.5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 x14ac:dyDescent="0.5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813" t="s">
        <v>92</v>
      </c>
      <c r="I60" s="814"/>
      <c r="J60" s="814"/>
      <c r="K60" s="815"/>
      <c r="L60" s="134">
        <f>'[1]6 เดือน'!$L$60</f>
        <v>1</v>
      </c>
      <c r="M60" s="135">
        <f>IF(L60=0,"-",ROUND(L60*B60/B$94,4))</f>
        <v>0.05</v>
      </c>
    </row>
    <row r="61" spans="1:13" ht="24.75" customHeight="1" x14ac:dyDescent="0.5">
      <c r="A61" s="144" t="s">
        <v>90</v>
      </c>
      <c r="B61" s="137"/>
      <c r="C61" s="190"/>
      <c r="D61" s="190"/>
      <c r="E61" s="190"/>
      <c r="F61" s="190"/>
      <c r="G61" s="190"/>
      <c r="H61" s="802" t="s">
        <v>93</v>
      </c>
      <c r="I61" s="803"/>
      <c r="J61" s="803"/>
      <c r="K61" s="804"/>
      <c r="L61" s="143"/>
      <c r="M61" s="143"/>
    </row>
    <row r="62" spans="1:13" ht="24.75" customHeight="1" x14ac:dyDescent="0.5">
      <c r="A62" s="144" t="s">
        <v>91</v>
      </c>
      <c r="B62" s="145"/>
      <c r="C62" s="158"/>
      <c r="D62" s="158"/>
      <c r="E62" s="158"/>
      <c r="F62" s="158"/>
      <c r="G62" s="158"/>
      <c r="H62" s="802" t="s">
        <v>94</v>
      </c>
      <c r="I62" s="803"/>
      <c r="J62" s="803"/>
      <c r="K62" s="804"/>
      <c r="L62" s="143"/>
      <c r="M62" s="143"/>
    </row>
    <row r="63" spans="1:13" ht="24.75" customHeight="1" x14ac:dyDescent="0.5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 x14ac:dyDescent="0.5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 x14ac:dyDescent="0.5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 x14ac:dyDescent="0.5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 x14ac:dyDescent="0.5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 x14ac:dyDescent="0.5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813" t="s">
        <v>103</v>
      </c>
      <c r="I68" s="814"/>
      <c r="J68" s="814"/>
      <c r="K68" s="815"/>
      <c r="L68" s="134">
        <f>'[1]6 เดือน'!$L$68</f>
        <v>1</v>
      </c>
      <c r="M68" s="135">
        <f>IF(L68=0,"-",ROUND(L68*B68/B$94,4))</f>
        <v>0.05</v>
      </c>
    </row>
    <row r="69" spans="1:32" ht="24.75" customHeight="1" x14ac:dyDescent="0.5">
      <c r="A69" s="144" t="s">
        <v>102</v>
      </c>
      <c r="B69" s="145"/>
      <c r="C69" s="182"/>
      <c r="D69" s="182"/>
      <c r="E69" s="182"/>
      <c r="F69" s="182"/>
      <c r="G69" s="182"/>
      <c r="H69" s="802" t="s">
        <v>104</v>
      </c>
      <c r="I69" s="803"/>
      <c r="J69" s="803"/>
      <c r="K69" s="804"/>
      <c r="L69" s="143"/>
      <c r="M69" s="143"/>
    </row>
    <row r="70" spans="1:32" ht="24.75" customHeight="1" x14ac:dyDescent="0.5">
      <c r="A70" s="144"/>
      <c r="B70" s="145"/>
      <c r="C70" s="182"/>
      <c r="D70" s="182"/>
      <c r="E70" s="182"/>
      <c r="F70" s="182"/>
      <c r="G70" s="182"/>
      <c r="H70" s="802" t="s">
        <v>105</v>
      </c>
      <c r="I70" s="803"/>
      <c r="J70" s="803"/>
      <c r="K70" s="804"/>
      <c r="L70" s="143"/>
      <c r="M70" s="143"/>
    </row>
    <row r="71" spans="1:32" ht="24.75" customHeight="1" x14ac:dyDescent="0.5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 x14ac:dyDescent="0.5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 x14ac:dyDescent="0.5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13" t="s">
        <v>108</v>
      </c>
      <c r="I73" s="814"/>
      <c r="J73" s="814"/>
      <c r="K73" s="815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 x14ac:dyDescent="0.5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02" t="s">
        <v>109</v>
      </c>
      <c r="I74" s="803"/>
      <c r="J74" s="803"/>
      <c r="K74" s="804"/>
      <c r="L74" s="143"/>
      <c r="M74" s="143"/>
    </row>
    <row r="75" spans="1:32" ht="24.75" customHeight="1" x14ac:dyDescent="0.5">
      <c r="A75" s="144"/>
      <c r="B75" s="145"/>
      <c r="C75" s="196"/>
      <c r="D75" s="196"/>
      <c r="E75" s="196"/>
      <c r="F75" s="196"/>
      <c r="G75" s="196"/>
      <c r="H75" s="802" t="s">
        <v>110</v>
      </c>
      <c r="I75" s="803"/>
      <c r="J75" s="803"/>
      <c r="K75" s="804"/>
      <c r="L75" s="143"/>
      <c r="M75" s="143"/>
      <c r="P75" s="198"/>
      <c r="Q75" s="198"/>
    </row>
    <row r="76" spans="1:32" ht="24.75" customHeight="1" x14ac:dyDescent="0.5">
      <c r="A76" s="144"/>
      <c r="B76" s="145"/>
      <c r="C76" s="196"/>
      <c r="D76" s="196"/>
      <c r="E76" s="196"/>
      <c r="F76" s="196"/>
      <c r="G76" s="196"/>
      <c r="H76" s="802" t="s">
        <v>111</v>
      </c>
      <c r="I76" s="803"/>
      <c r="J76" s="803"/>
      <c r="K76" s="804"/>
      <c r="L76" s="143"/>
      <c r="M76" s="143"/>
      <c r="P76" s="198"/>
      <c r="Q76" s="198"/>
    </row>
    <row r="77" spans="1:32" ht="24.75" customHeight="1" x14ac:dyDescent="0.5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 x14ac:dyDescent="0.5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 x14ac:dyDescent="0.5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813" t="s">
        <v>123</v>
      </c>
      <c r="I79" s="814"/>
      <c r="J79" s="814"/>
      <c r="K79" s="815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 x14ac:dyDescent="0.5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 x14ac:dyDescent="0.5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 x14ac:dyDescent="0.5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 x14ac:dyDescent="0.5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 x14ac:dyDescent="0.5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 x14ac:dyDescent="0.5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 x14ac:dyDescent="0.5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813" t="s">
        <v>117</v>
      </c>
      <c r="I86" s="814"/>
      <c r="J86" s="814"/>
      <c r="K86" s="815"/>
      <c r="L86" s="134">
        <v>1</v>
      </c>
      <c r="M86" s="135">
        <f>IF(L86=0,"-",ROUND(L86*B86/B$94,4))</f>
        <v>0.05</v>
      </c>
    </row>
    <row r="87" spans="1:32" ht="24.75" customHeight="1" x14ac:dyDescent="0.5">
      <c r="A87" s="144" t="s">
        <v>116</v>
      </c>
      <c r="B87" s="145"/>
      <c r="C87" s="182"/>
      <c r="D87" s="182"/>
      <c r="E87" s="182"/>
      <c r="F87" s="182"/>
      <c r="G87" s="182"/>
      <c r="H87" s="802" t="s">
        <v>118</v>
      </c>
      <c r="I87" s="803"/>
      <c r="J87" s="803"/>
      <c r="K87" s="804"/>
      <c r="L87" s="143"/>
      <c r="M87" s="143"/>
    </row>
    <row r="88" spans="1:32" ht="24.75" customHeight="1" x14ac:dyDescent="0.5">
      <c r="A88" s="144"/>
      <c r="B88" s="145"/>
      <c r="C88" s="182"/>
      <c r="D88" s="182"/>
      <c r="E88" s="182"/>
      <c r="F88" s="182"/>
      <c r="G88" s="182"/>
      <c r="H88" s="802" t="s">
        <v>119</v>
      </c>
      <c r="I88" s="803"/>
      <c r="J88" s="803"/>
      <c r="K88" s="804"/>
      <c r="L88" s="143"/>
      <c r="M88" s="143"/>
    </row>
    <row r="89" spans="1:32" ht="24.75" customHeight="1" x14ac:dyDescent="0.5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 x14ac:dyDescent="0.5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 x14ac:dyDescent="0.5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 x14ac:dyDescent="0.5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 x14ac:dyDescent="0.5">
      <c r="A93" s="827" t="s">
        <v>129</v>
      </c>
      <c r="B93" s="828"/>
      <c r="C93" s="828"/>
      <c r="D93" s="828"/>
      <c r="E93" s="828"/>
      <c r="F93" s="828"/>
      <c r="G93" s="828"/>
      <c r="H93" s="828"/>
      <c r="I93" s="828"/>
      <c r="J93" s="828"/>
      <c r="K93" s="828"/>
      <c r="L93" s="829"/>
      <c r="M93" s="214">
        <f>SUM(M86,M79,M73,M68,M60,M54,M49,M41,M35,M29,M24,M17,M9,M6)</f>
        <v>1.2636000000000001</v>
      </c>
    </row>
    <row r="94" spans="1:32" x14ac:dyDescent="0.5">
      <c r="B94" s="215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A1:M1"/>
    <mergeCell ref="A2:M2"/>
    <mergeCell ref="C4:G4"/>
    <mergeCell ref="H4:K5"/>
    <mergeCell ref="L4:L5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view="pageBreakPreview" topLeftCell="E1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4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1.7109375" style="292" bestFit="1" customWidth="1"/>
    <col min="19" max="16384" width="9.140625" style="292"/>
  </cols>
  <sheetData>
    <row r="1" spans="1:13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3" ht="24" customHeight="1" x14ac:dyDescent="0.4">
      <c r="A2" s="897" t="s">
        <v>409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13" ht="24" customHeight="1" x14ac:dyDescent="0.35">
      <c r="A3" s="293" t="s">
        <v>408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3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13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13" ht="23.25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IF(L6=0,"-",ROUND(L6*B6/B$43,4))</f>
        <v>0.80030000000000001</v>
      </c>
    </row>
    <row r="7" spans="1:13" ht="23.25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</row>
    <row r="8" spans="1:13" ht="23.25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13" ht="23.25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13" ht="23.25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13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</row>
    <row r="12" spans="1:13" ht="23.25" x14ac:dyDescent="0.35">
      <c r="A12" s="325"/>
      <c r="B12" s="402"/>
      <c r="C12" s="310"/>
      <c r="D12" s="310"/>
      <c r="E12" s="310"/>
      <c r="F12" s="310"/>
      <c r="G12" s="310"/>
      <c r="H12" s="891" t="s">
        <v>368</v>
      </c>
      <c r="I12" s="892"/>
      <c r="J12" s="892"/>
      <c r="K12" s="893"/>
      <c r="L12" s="326"/>
      <c r="M12" s="299"/>
    </row>
    <row r="13" spans="1:13" ht="23.25" x14ac:dyDescent="0.35">
      <c r="A13" s="302" t="s">
        <v>184</v>
      </c>
      <c r="B13" s="403">
        <v>4</v>
      </c>
      <c r="C13" s="332">
        <v>0.5</v>
      </c>
      <c r="D13" s="332">
        <v>0.75</v>
      </c>
      <c r="E13" s="332">
        <v>1</v>
      </c>
      <c r="F13" s="332">
        <v>1</v>
      </c>
      <c r="G13" s="332">
        <v>1</v>
      </c>
      <c r="H13" s="574" t="s">
        <v>152</v>
      </c>
      <c r="I13" s="571"/>
      <c r="J13" s="571"/>
      <c r="K13" s="572"/>
      <c r="L13" s="304">
        <v>5</v>
      </c>
      <c r="M13" s="305">
        <f>IF(L13=0,"-",ROUND(L13*B13/B$43,4))</f>
        <v>0.83330000000000004</v>
      </c>
    </row>
    <row r="14" spans="1:13" ht="23.25" x14ac:dyDescent="0.35">
      <c r="A14" s="309" t="s">
        <v>151</v>
      </c>
      <c r="B14" s="406"/>
      <c r="C14" s="335"/>
      <c r="D14" s="335"/>
      <c r="E14" s="335"/>
      <c r="F14" s="335" t="s">
        <v>70</v>
      </c>
      <c r="G14" s="335" t="s">
        <v>70</v>
      </c>
      <c r="H14" s="573" t="s">
        <v>153</v>
      </c>
      <c r="I14" s="573"/>
      <c r="J14" s="573"/>
      <c r="K14" s="570"/>
      <c r="L14" s="307"/>
      <c r="M14" s="308"/>
    </row>
    <row r="15" spans="1:13" ht="23.25" x14ac:dyDescent="0.35">
      <c r="A15" s="309"/>
      <c r="B15" s="406"/>
      <c r="C15" s="335"/>
      <c r="D15" s="335"/>
      <c r="E15" s="335"/>
      <c r="F15" s="335" t="s">
        <v>137</v>
      </c>
      <c r="G15" s="335" t="s">
        <v>138</v>
      </c>
      <c r="H15" s="573" t="s">
        <v>180</v>
      </c>
      <c r="I15" s="573"/>
      <c r="J15" s="573"/>
      <c r="K15" s="570"/>
      <c r="L15" s="307"/>
      <c r="M15" s="308"/>
    </row>
    <row r="16" spans="1:13" ht="23.25" x14ac:dyDescent="0.35">
      <c r="A16" s="309"/>
      <c r="B16" s="406"/>
      <c r="C16" s="336"/>
      <c r="D16" s="336"/>
      <c r="E16" s="336"/>
      <c r="F16" s="336"/>
      <c r="G16" s="390"/>
      <c r="H16" s="569"/>
      <c r="I16" s="323" t="s">
        <v>56</v>
      </c>
      <c r="J16" s="324">
        <v>100</v>
      </c>
      <c r="K16" s="570" t="s">
        <v>51</v>
      </c>
      <c r="L16" s="307"/>
      <c r="M16" s="308"/>
    </row>
    <row r="17" spans="1:15" ht="23.25" x14ac:dyDescent="0.35">
      <c r="A17" s="325"/>
      <c r="B17" s="359"/>
      <c r="C17" s="310"/>
      <c r="D17" s="310"/>
      <c r="E17" s="310"/>
      <c r="F17" s="310"/>
      <c r="G17" s="310"/>
      <c r="H17" s="565"/>
      <c r="I17" s="566"/>
      <c r="J17" s="566"/>
      <c r="K17" s="567"/>
      <c r="L17" s="326"/>
      <c r="M17" s="299"/>
    </row>
    <row r="18" spans="1:15" ht="23.25" x14ac:dyDescent="0.35">
      <c r="A18" s="339" t="s">
        <v>190</v>
      </c>
      <c r="B18" s="407">
        <v>4</v>
      </c>
      <c r="C18" s="340">
        <v>0.65</v>
      </c>
      <c r="D18" s="340">
        <v>0.7</v>
      </c>
      <c r="E18" s="340">
        <v>0.75</v>
      </c>
      <c r="F18" s="340">
        <v>0.8</v>
      </c>
      <c r="G18" s="340">
        <v>0.85</v>
      </c>
      <c r="H18" s="574" t="s">
        <v>156</v>
      </c>
      <c r="I18" s="571"/>
      <c r="J18" s="571"/>
      <c r="K18" s="572"/>
      <c r="L18" s="304">
        <v>1</v>
      </c>
      <c r="M18" s="305">
        <f>IF(L18=0,"-",ROUND(L18*B18/B$43,4))</f>
        <v>0.16669999999999999</v>
      </c>
    </row>
    <row r="19" spans="1:15" ht="23.25" x14ac:dyDescent="0.35">
      <c r="A19" s="309" t="s">
        <v>145</v>
      </c>
      <c r="B19" s="352"/>
      <c r="C19" s="320"/>
      <c r="D19" s="320"/>
      <c r="E19" s="320"/>
      <c r="F19" s="320"/>
      <c r="G19" s="320"/>
      <c r="H19" s="569" t="s">
        <v>104</v>
      </c>
      <c r="I19" s="573"/>
      <c r="J19" s="573"/>
      <c r="K19" s="570"/>
      <c r="L19" s="307"/>
      <c r="M19" s="308"/>
    </row>
    <row r="20" spans="1:15" ht="23.25" x14ac:dyDescent="0.35">
      <c r="A20" s="389" t="s">
        <v>155</v>
      </c>
      <c r="B20" s="352"/>
      <c r="C20" s="320"/>
      <c r="D20" s="320"/>
      <c r="E20" s="320"/>
      <c r="F20" s="320"/>
      <c r="G20" s="320"/>
      <c r="H20" s="569" t="s">
        <v>105</v>
      </c>
      <c r="I20" s="573"/>
      <c r="J20" s="573"/>
      <c r="K20" s="570"/>
      <c r="L20" s="307"/>
      <c r="M20" s="308"/>
    </row>
    <row r="21" spans="1:15" ht="23.25" x14ac:dyDescent="0.35">
      <c r="A21" s="309"/>
      <c r="B21" s="352"/>
      <c r="C21" s="320"/>
      <c r="D21" s="320"/>
      <c r="E21" s="320"/>
      <c r="F21" s="320"/>
      <c r="G21" s="320"/>
      <c r="H21" s="341"/>
      <c r="I21" s="342" t="s">
        <v>113</v>
      </c>
      <c r="J21" s="343" t="s">
        <v>11</v>
      </c>
      <c r="K21" s="570" t="s">
        <v>51</v>
      </c>
      <c r="L21" s="307"/>
      <c r="M21" s="308"/>
    </row>
    <row r="22" spans="1:15" ht="23.25" x14ac:dyDescent="0.35">
      <c r="A22" s="325"/>
      <c r="B22" s="359"/>
      <c r="C22" s="310"/>
      <c r="D22" s="310"/>
      <c r="E22" s="310"/>
      <c r="F22" s="310"/>
      <c r="G22" s="415"/>
      <c r="H22" s="891" t="s">
        <v>211</v>
      </c>
      <c r="I22" s="892"/>
      <c r="J22" s="892"/>
      <c r="K22" s="893"/>
      <c r="L22" s="326"/>
      <c r="M22" s="299"/>
    </row>
    <row r="23" spans="1:15" ht="23.25" x14ac:dyDescent="0.35">
      <c r="A23" s="302" t="s">
        <v>106</v>
      </c>
      <c r="B23" s="407">
        <v>4</v>
      </c>
      <c r="C23" s="346" t="s">
        <v>29</v>
      </c>
      <c r="D23" s="346" t="s">
        <v>30</v>
      </c>
      <c r="E23" s="346" t="s">
        <v>31</v>
      </c>
      <c r="F23" s="346" t="s">
        <v>32</v>
      </c>
      <c r="G23" s="346" t="s">
        <v>33</v>
      </c>
      <c r="H23" s="574" t="s">
        <v>108</v>
      </c>
      <c r="I23" s="571"/>
      <c r="J23" s="571"/>
      <c r="K23" s="572"/>
      <c r="L23" s="304">
        <v>3</v>
      </c>
      <c r="M23" s="305">
        <f>IF(L23=0,"-",ROUND(L23*B23/B$43,4))</f>
        <v>0.5</v>
      </c>
    </row>
    <row r="24" spans="1:15" ht="23.25" x14ac:dyDescent="0.35">
      <c r="A24" s="309" t="s">
        <v>107</v>
      </c>
      <c r="B24" s="352"/>
      <c r="C24" s="348">
        <v>1.5</v>
      </c>
      <c r="D24" s="348">
        <v>2</v>
      </c>
      <c r="E24" s="348">
        <v>2.5</v>
      </c>
      <c r="F24" s="348">
        <v>3</v>
      </c>
      <c r="G24" s="348">
        <v>5</v>
      </c>
      <c r="H24" s="569" t="s">
        <v>146</v>
      </c>
      <c r="I24" s="573"/>
      <c r="J24" s="573"/>
      <c r="K24" s="570"/>
      <c r="L24" s="307"/>
      <c r="M24" s="308"/>
    </row>
    <row r="25" spans="1:15" ht="23.25" x14ac:dyDescent="0.35">
      <c r="A25" s="309"/>
      <c r="B25" s="352"/>
      <c r="C25" s="344"/>
      <c r="D25" s="344"/>
      <c r="E25" s="344"/>
      <c r="F25" s="344"/>
      <c r="G25" s="344"/>
      <c r="H25" s="569" t="s">
        <v>110</v>
      </c>
      <c r="I25" s="573"/>
      <c r="J25" s="573"/>
      <c r="K25" s="570"/>
      <c r="L25" s="307"/>
      <c r="M25" s="308"/>
    </row>
    <row r="26" spans="1:15" ht="23.25" x14ac:dyDescent="0.35">
      <c r="A26" s="309"/>
      <c r="B26" s="352"/>
      <c r="C26" s="344"/>
      <c r="D26" s="344"/>
      <c r="E26" s="344"/>
      <c r="F26" s="344"/>
      <c r="G26" s="344"/>
      <c r="H26" s="569" t="s">
        <v>191</v>
      </c>
      <c r="I26" s="573"/>
      <c r="J26" s="573"/>
      <c r="K26" s="570"/>
      <c r="L26" s="307"/>
      <c r="M26" s="308"/>
    </row>
    <row r="27" spans="1:15" ht="23.25" x14ac:dyDescent="0.35">
      <c r="A27" s="309"/>
      <c r="B27" s="352"/>
      <c r="C27" s="344"/>
      <c r="D27" s="344"/>
      <c r="E27" s="344"/>
      <c r="F27" s="344"/>
      <c r="G27" s="344"/>
      <c r="H27" s="569"/>
      <c r="I27" s="323" t="s">
        <v>112</v>
      </c>
      <c r="J27" s="324">
        <v>2.5</v>
      </c>
      <c r="K27" s="382"/>
      <c r="L27" s="307"/>
      <c r="M27" s="308"/>
    </row>
    <row r="28" spans="1:15" ht="23.25" x14ac:dyDescent="0.35">
      <c r="A28" s="325"/>
      <c r="B28" s="359"/>
      <c r="C28" s="310"/>
      <c r="D28" s="310"/>
      <c r="E28" s="310"/>
      <c r="F28" s="310"/>
      <c r="G28" s="310"/>
      <c r="H28" s="891"/>
      <c r="I28" s="892"/>
      <c r="J28" s="892"/>
      <c r="K28" s="893"/>
      <c r="L28" s="326"/>
      <c r="M28" s="299"/>
    </row>
    <row r="29" spans="1:15" ht="23.25" x14ac:dyDescent="0.35">
      <c r="A29" s="350" t="s">
        <v>132</v>
      </c>
      <c r="B29" s="407">
        <v>4</v>
      </c>
      <c r="C29" s="340">
        <v>0.1</v>
      </c>
      <c r="D29" s="340">
        <v>0.3</v>
      </c>
      <c r="E29" s="340">
        <v>0.5</v>
      </c>
      <c r="F29" s="340">
        <v>0.7</v>
      </c>
      <c r="G29" s="340">
        <v>1</v>
      </c>
      <c r="H29" s="574" t="s">
        <v>123</v>
      </c>
      <c r="I29" s="571"/>
      <c r="J29" s="571"/>
      <c r="K29" s="572"/>
      <c r="L29" s="304">
        <f>4+O30</f>
        <v>5</v>
      </c>
      <c r="M29" s="305">
        <f>IF(L29=0,"-",ROUND(L29*B29/B$43,4))</f>
        <v>0.83330000000000004</v>
      </c>
      <c r="N29" s="292">
        <v>30</v>
      </c>
      <c r="O29" s="431">
        <v>1</v>
      </c>
    </row>
    <row r="30" spans="1:15" ht="23.25" x14ac:dyDescent="0.35">
      <c r="A30" s="351" t="s">
        <v>192</v>
      </c>
      <c r="B30" s="352"/>
      <c r="C30" s="320"/>
      <c r="D30" s="320"/>
      <c r="E30" s="320"/>
      <c r="F30" s="320"/>
      <c r="G30" s="311"/>
      <c r="H30" s="569" t="s">
        <v>124</v>
      </c>
      <c r="I30" s="322"/>
      <c r="J30" s="353"/>
      <c r="K30" s="354"/>
      <c r="L30" s="355"/>
      <c r="M30" s="308"/>
      <c r="N30" s="542">
        <f>J34-70</f>
        <v>30</v>
      </c>
      <c r="O30" s="431">
        <f>O29*N30/N29</f>
        <v>1</v>
      </c>
    </row>
    <row r="31" spans="1:15" ht="23.25" x14ac:dyDescent="0.35">
      <c r="A31" s="351"/>
      <c r="B31" s="352"/>
      <c r="C31" s="320"/>
      <c r="D31" s="320"/>
      <c r="E31" s="320"/>
      <c r="F31" s="320"/>
      <c r="G31" s="320"/>
      <c r="H31" s="573" t="s">
        <v>125</v>
      </c>
      <c r="I31" s="322"/>
      <c r="J31" s="353"/>
      <c r="K31" s="354"/>
      <c r="L31" s="355"/>
      <c r="M31" s="308"/>
    </row>
    <row r="32" spans="1:15" ht="23.25" x14ac:dyDescent="0.35">
      <c r="A32" s="351"/>
      <c r="B32" s="352"/>
      <c r="C32" s="320"/>
      <c r="D32" s="320"/>
      <c r="E32" s="320"/>
      <c r="F32" s="320"/>
      <c r="G32" s="320"/>
      <c r="H32" s="569" t="s">
        <v>126</v>
      </c>
      <c r="I32" s="322"/>
      <c r="J32" s="353"/>
      <c r="K32" s="354"/>
      <c r="L32" s="355"/>
      <c r="M32" s="308"/>
    </row>
    <row r="33" spans="1:13" ht="23.25" x14ac:dyDescent="0.35">
      <c r="A33" s="351"/>
      <c r="B33" s="352"/>
      <c r="C33" s="320"/>
      <c r="D33" s="320"/>
      <c r="E33" s="320"/>
      <c r="F33" s="320"/>
      <c r="G33" s="320"/>
      <c r="H33" s="569" t="s">
        <v>127</v>
      </c>
      <c r="I33" s="322"/>
      <c r="J33" s="353"/>
      <c r="K33" s="354"/>
      <c r="L33" s="355"/>
      <c r="M33" s="308"/>
    </row>
    <row r="34" spans="1:13" ht="23.25" x14ac:dyDescent="0.35">
      <c r="A34" s="351"/>
      <c r="B34" s="352"/>
      <c r="C34" s="320"/>
      <c r="D34" s="320"/>
      <c r="E34" s="320"/>
      <c r="F34" s="320"/>
      <c r="G34" s="320"/>
      <c r="H34" s="569"/>
      <c r="I34" s="323" t="s">
        <v>114</v>
      </c>
      <c r="J34" s="408">
        <f>สพญ.!S86</f>
        <v>100</v>
      </c>
      <c r="K34" s="382" t="s">
        <v>51</v>
      </c>
      <c r="L34" s="355"/>
      <c r="M34" s="308"/>
    </row>
    <row r="35" spans="1:13" ht="23.25" x14ac:dyDescent="0.35">
      <c r="A35" s="358"/>
      <c r="B35" s="359"/>
      <c r="C35" s="310"/>
      <c r="D35" s="310"/>
      <c r="E35" s="310"/>
      <c r="F35" s="310"/>
      <c r="G35" s="310"/>
      <c r="H35" s="330"/>
      <c r="I35" s="423"/>
      <c r="J35" s="423"/>
      <c r="K35" s="424"/>
      <c r="L35" s="360"/>
      <c r="M35" s="299"/>
    </row>
    <row r="36" spans="1:13" ht="23.25" x14ac:dyDescent="0.35">
      <c r="A36" s="351" t="s">
        <v>324</v>
      </c>
      <c r="B36" s="585">
        <v>4</v>
      </c>
      <c r="C36" s="586">
        <v>0.4</v>
      </c>
      <c r="D36" s="586">
        <v>0.45</v>
      </c>
      <c r="E36" s="586">
        <v>0.5</v>
      </c>
      <c r="F36" s="586">
        <v>0.55000000000000004</v>
      </c>
      <c r="G36" s="586">
        <v>0.6</v>
      </c>
      <c r="H36" s="569" t="s">
        <v>325</v>
      </c>
      <c r="I36" s="345"/>
      <c r="J36" s="587"/>
      <c r="K36" s="588"/>
      <c r="L36" s="412">
        <v>4</v>
      </c>
      <c r="M36" s="305">
        <f>IF(L36=0,"-",ROUND(L36*B36/B$43,4))</f>
        <v>0.66669999999999996</v>
      </c>
    </row>
    <row r="37" spans="1:13" ht="23.25" x14ac:dyDescent="0.35">
      <c r="A37" s="351" t="s">
        <v>326</v>
      </c>
      <c r="B37" s="406"/>
      <c r="C37" s="311"/>
      <c r="D37" s="311"/>
      <c r="E37" s="311"/>
      <c r="F37" s="311"/>
      <c r="G37" s="333"/>
      <c r="H37" s="569" t="s">
        <v>327</v>
      </c>
      <c r="I37" s="345"/>
      <c r="J37" s="587"/>
      <c r="K37" s="588"/>
      <c r="L37" s="412"/>
      <c r="M37" s="308"/>
    </row>
    <row r="38" spans="1:13" ht="23.25" x14ac:dyDescent="0.35">
      <c r="A38" s="351"/>
      <c r="B38" s="406"/>
      <c r="C38" s="311"/>
      <c r="D38" s="311"/>
      <c r="E38" s="311"/>
      <c r="F38" s="311"/>
      <c r="G38" s="333"/>
      <c r="H38" s="569"/>
      <c r="I38" s="345"/>
      <c r="J38" s="587"/>
      <c r="K38" s="588"/>
      <c r="L38" s="412"/>
      <c r="M38" s="308"/>
    </row>
    <row r="39" spans="1:13" ht="23.25" x14ac:dyDescent="0.35">
      <c r="A39" s="351"/>
      <c r="B39" s="406"/>
      <c r="C39" s="311"/>
      <c r="D39" s="311"/>
      <c r="E39" s="311"/>
      <c r="F39" s="311"/>
      <c r="G39" s="333"/>
      <c r="H39" s="569"/>
      <c r="I39" s="345" t="s">
        <v>174</v>
      </c>
      <c r="J39" s="589">
        <v>55</v>
      </c>
      <c r="K39" s="413" t="s">
        <v>51</v>
      </c>
      <c r="L39" s="412"/>
      <c r="M39" s="308"/>
    </row>
    <row r="40" spans="1:13" ht="23.25" x14ac:dyDescent="0.35">
      <c r="A40" s="351"/>
      <c r="B40" s="406"/>
      <c r="C40" s="311"/>
      <c r="D40" s="311"/>
      <c r="E40" s="311"/>
      <c r="F40" s="311"/>
      <c r="G40" s="333"/>
      <c r="H40" s="569"/>
      <c r="I40" s="345"/>
      <c r="J40" s="587"/>
      <c r="K40" s="588"/>
      <c r="L40" s="412"/>
      <c r="M40" s="308"/>
    </row>
    <row r="41" spans="1:13" ht="23.25" x14ac:dyDescent="0.35">
      <c r="A41" s="351"/>
      <c r="B41" s="406"/>
      <c r="C41" s="311"/>
      <c r="D41" s="311"/>
      <c r="E41" s="311"/>
      <c r="F41" s="311"/>
      <c r="G41" s="333"/>
      <c r="H41" s="569"/>
      <c r="I41" s="345"/>
      <c r="J41" s="587"/>
      <c r="K41" s="588"/>
      <c r="L41" s="412"/>
      <c r="M41" s="308"/>
    </row>
    <row r="42" spans="1:13" ht="23.25" x14ac:dyDescent="0.35">
      <c r="A42" s="358"/>
      <c r="B42" s="414"/>
      <c r="C42" s="411"/>
      <c r="D42" s="411"/>
      <c r="E42" s="411"/>
      <c r="F42" s="411"/>
      <c r="G42" s="415"/>
      <c r="H42" s="576"/>
      <c r="I42" s="345"/>
      <c r="J42" s="587"/>
      <c r="K42" s="584"/>
      <c r="L42" s="412"/>
      <c r="M42" s="308"/>
    </row>
    <row r="43" spans="1:13" ht="26.25" x14ac:dyDescent="0.4">
      <c r="A43" s="363"/>
      <c r="B43" s="409">
        <f>ROUND(SUM(B6:B42),1)</f>
        <v>24</v>
      </c>
      <c r="C43" s="364"/>
      <c r="D43" s="364"/>
      <c r="E43" s="364"/>
      <c r="F43" s="364"/>
      <c r="G43" s="365"/>
      <c r="H43" s="364"/>
      <c r="I43" s="364"/>
      <c r="J43" s="364"/>
      <c r="K43" s="364"/>
      <c r="L43" s="366" t="s">
        <v>139</v>
      </c>
      <c r="M43" s="410">
        <f>(SUM(M6:M42))</f>
        <v>3.8003</v>
      </c>
    </row>
  </sheetData>
  <mergeCells count="13">
    <mergeCell ref="H28:K28"/>
    <mergeCell ref="H7:K7"/>
    <mergeCell ref="H8:K8"/>
    <mergeCell ref="H9:K9"/>
    <mergeCell ref="H10:K10"/>
    <mergeCell ref="H12:K12"/>
    <mergeCell ref="H22:K22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" top="0.55118110236220497" bottom="0.27559055118110198" header="0.196850393700787" footer="0.47244094488188998"/>
  <pageSetup paperSize="9" scale="71" orientation="landscape" r:id="rId1"/>
  <headerFooter scaleWithDoc="0">
    <oddHeader>&amp;R&amp;"TH SarabunPSK,ธรรมดา"&amp;16&amp;P</oddHeader>
  </headerFooter>
  <rowBreaks count="1" manualBreakCount="1">
    <brk id="22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5" width="9.140625" style="292"/>
    <col min="16" max="16" width="65.42578125" style="292" bestFit="1" customWidth="1"/>
    <col min="17" max="17" width="10.85546875" style="292" bestFit="1" customWidth="1"/>
    <col min="18" max="18" width="14.42578125" style="292" customWidth="1"/>
    <col min="19" max="16384" width="9.140625" style="292"/>
  </cols>
  <sheetData>
    <row r="1" spans="1:20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0" ht="24" customHeight="1" x14ac:dyDescent="0.4">
      <c r="A2" s="897" t="s">
        <v>393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0" ht="24" customHeight="1" x14ac:dyDescent="0.35">
      <c r="A3" s="293" t="s">
        <v>392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0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20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IF(L6=0,"-",ROUND(L6*B6/B$81,4))</f>
        <v>0.3201</v>
      </c>
      <c r="N6" s="481" t="s">
        <v>236</v>
      </c>
    </row>
    <row r="7" spans="1:20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</row>
    <row r="8" spans="1:20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0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20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20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</row>
    <row r="12" spans="1:20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P12" s="568" t="s">
        <v>320</v>
      </c>
      <c r="Q12" s="568" t="s">
        <v>238</v>
      </c>
    </row>
    <row r="13" spans="1:20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1+O16</f>
        <v>1.0579999999999998</v>
      </c>
      <c r="M13" s="305">
        <f>IF(L13=0,"-",ROUND(L13*B13/B$81,4))</f>
        <v>0.21160000000000001</v>
      </c>
      <c r="N13" s="425" t="s">
        <v>199</v>
      </c>
      <c r="O13" s="497">
        <v>1</v>
      </c>
      <c r="P13" s="517">
        <f>สพญ.!R5</f>
        <v>952733177</v>
      </c>
      <c r="Q13" s="518">
        <f>สพญ.!S5</f>
        <v>94.19</v>
      </c>
      <c r="R13" s="502" t="s">
        <v>239</v>
      </c>
      <c r="S13" s="575"/>
      <c r="T13" s="298"/>
    </row>
    <row r="14" spans="1:20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81" t="s">
        <v>236</v>
      </c>
    </row>
    <row r="15" spans="1:20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N15" s="292">
        <v>10</v>
      </c>
      <c r="O15" s="292">
        <v>1</v>
      </c>
    </row>
    <row r="16" spans="1:20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542">
        <f>J21-60</f>
        <v>0.57999999999999829</v>
      </c>
      <c r="O16" s="292">
        <f>O15*N16/N15</f>
        <v>5.7999999999999829E-2</v>
      </c>
    </row>
    <row r="17" spans="1:20" ht="24" customHeight="1" x14ac:dyDescent="0.35">
      <c r="A17" s="309"/>
      <c r="B17" s="352"/>
      <c r="C17" s="320"/>
      <c r="D17" s="320"/>
      <c r="E17" s="320"/>
      <c r="F17" s="320"/>
      <c r="G17" s="320"/>
      <c r="H17" s="880" t="s">
        <v>494</v>
      </c>
      <c r="I17" s="887"/>
      <c r="J17" s="887"/>
      <c r="K17" s="887"/>
      <c r="L17" s="887"/>
      <c r="M17" s="881"/>
    </row>
    <row r="18" spans="1:20" ht="24" customHeight="1" x14ac:dyDescent="0.35">
      <c r="A18" s="309"/>
      <c r="B18" s="352"/>
      <c r="C18" s="320"/>
      <c r="D18" s="320"/>
      <c r="E18" s="320"/>
      <c r="F18" s="320"/>
      <c r="G18" s="320"/>
      <c r="H18" s="880" t="s">
        <v>495</v>
      </c>
      <c r="I18" s="887"/>
      <c r="J18" s="887"/>
      <c r="K18" s="887"/>
      <c r="L18" s="887"/>
      <c r="M18" s="881"/>
    </row>
    <row r="19" spans="1:20" ht="24" customHeight="1" x14ac:dyDescent="0.35">
      <c r="A19" s="309"/>
      <c r="B19" s="352"/>
      <c r="C19" s="320"/>
      <c r="D19" s="320"/>
      <c r="E19" s="320"/>
      <c r="F19" s="320"/>
      <c r="G19" s="320"/>
      <c r="H19" s="880" t="s">
        <v>496</v>
      </c>
      <c r="I19" s="887"/>
      <c r="J19" s="887"/>
      <c r="K19" s="887"/>
      <c r="L19" s="887"/>
      <c r="M19" s="881"/>
    </row>
    <row r="20" spans="1:20" ht="24" customHeight="1" x14ac:dyDescent="0.35">
      <c r="A20" s="309"/>
      <c r="B20" s="352"/>
      <c r="C20" s="320"/>
      <c r="D20" s="320"/>
      <c r="E20" s="320"/>
      <c r="F20" s="320"/>
      <c r="G20" s="320"/>
      <c r="H20" s="880" t="s">
        <v>497</v>
      </c>
      <c r="I20" s="887"/>
      <c r="J20" s="887"/>
      <c r="K20" s="887"/>
      <c r="L20" s="887"/>
      <c r="M20" s="881"/>
    </row>
    <row r="21" spans="1:20" ht="24" customHeight="1" x14ac:dyDescent="0.35">
      <c r="A21" s="309"/>
      <c r="B21" s="352"/>
      <c r="C21" s="320"/>
      <c r="D21" s="320"/>
      <c r="E21" s="320"/>
      <c r="F21" s="320"/>
      <c r="G21" s="320"/>
      <c r="H21" s="380"/>
      <c r="I21" s="323" t="s">
        <v>174</v>
      </c>
      <c r="J21" s="328">
        <v>60.58</v>
      </c>
      <c r="K21" s="570" t="s">
        <v>51</v>
      </c>
      <c r="L21" s="307"/>
      <c r="M21" s="308"/>
    </row>
    <row r="22" spans="1:20" ht="24" customHeight="1" x14ac:dyDescent="0.35">
      <c r="A22" s="325"/>
      <c r="B22" s="359"/>
      <c r="C22" s="310"/>
      <c r="D22" s="310"/>
      <c r="E22" s="310"/>
      <c r="F22" s="310"/>
      <c r="G22" s="310"/>
      <c r="H22" s="329"/>
      <c r="I22" s="330"/>
      <c r="J22" s="404"/>
      <c r="K22" s="331"/>
      <c r="L22" s="326"/>
      <c r="M22" s="299"/>
    </row>
    <row r="23" spans="1:20" ht="24" customHeight="1" x14ac:dyDescent="0.5">
      <c r="A23" s="302" t="s">
        <v>179</v>
      </c>
      <c r="B23" s="403">
        <v>4</v>
      </c>
      <c r="C23" s="332">
        <v>0.5</v>
      </c>
      <c r="D23" s="332">
        <v>0.75</v>
      </c>
      <c r="E23" s="332">
        <v>1</v>
      </c>
      <c r="F23" s="332">
        <v>1</v>
      </c>
      <c r="G23" s="332">
        <v>1</v>
      </c>
      <c r="H23" s="894" t="s">
        <v>57</v>
      </c>
      <c r="I23" s="895"/>
      <c r="J23" s="895"/>
      <c r="K23" s="896"/>
      <c r="L23" s="304">
        <f>1+O26</f>
        <v>1.0180571428571428</v>
      </c>
      <c r="M23" s="305">
        <f>IF(L23=0,"-",ROUND(L23*B23/B$81,4))</f>
        <v>6.7900000000000002E-2</v>
      </c>
      <c r="N23" s="425" t="s">
        <v>199</v>
      </c>
      <c r="O23" s="455" t="s">
        <v>232</v>
      </c>
      <c r="P23" s="456" t="s">
        <v>233</v>
      </c>
      <c r="Q23" s="577" t="s">
        <v>234</v>
      </c>
      <c r="R23" s="577" t="s">
        <v>215</v>
      </c>
      <c r="S23" s="578" t="s">
        <v>51</v>
      </c>
    </row>
    <row r="24" spans="1:20" ht="24" customHeight="1" x14ac:dyDescent="0.5">
      <c r="A24" s="309" t="s">
        <v>23</v>
      </c>
      <c r="B24" s="352"/>
      <c r="C24" s="320"/>
      <c r="D24" s="320"/>
      <c r="E24" s="320"/>
      <c r="F24" s="335" t="s">
        <v>70</v>
      </c>
      <c r="G24" s="335" t="s">
        <v>70</v>
      </c>
      <c r="H24" s="569" t="s">
        <v>58</v>
      </c>
      <c r="I24" s="573"/>
      <c r="J24" s="573"/>
      <c r="K24" s="570"/>
      <c r="L24" s="307"/>
      <c r="M24" s="308"/>
      <c r="N24" s="481" t="s">
        <v>236</v>
      </c>
      <c r="O24" s="458">
        <v>1</v>
      </c>
      <c r="P24" s="459" t="s">
        <v>266</v>
      </c>
      <c r="Q24" s="460">
        <v>350000</v>
      </c>
      <c r="R24" s="604">
        <f>สพญ.!AB44</f>
        <v>176580</v>
      </c>
      <c r="S24" s="432">
        <f>R24*100/Q24</f>
        <v>50.451428571428572</v>
      </c>
      <c r="T24" s="292" t="s">
        <v>51</v>
      </c>
    </row>
    <row r="25" spans="1:20" ht="24" customHeight="1" x14ac:dyDescent="0.35">
      <c r="A25" s="309" t="s">
        <v>24</v>
      </c>
      <c r="B25" s="352"/>
      <c r="C25" s="320"/>
      <c r="D25" s="320"/>
      <c r="E25" s="320"/>
      <c r="F25" s="335" t="s">
        <v>137</v>
      </c>
      <c r="G25" s="335" t="s">
        <v>138</v>
      </c>
      <c r="H25" s="569" t="s">
        <v>147</v>
      </c>
      <c r="I25" s="573"/>
      <c r="J25" s="573"/>
      <c r="K25" s="570"/>
      <c r="L25" s="307"/>
      <c r="M25" s="308"/>
      <c r="N25" s="292">
        <v>25</v>
      </c>
      <c r="O25" s="292">
        <v>1</v>
      </c>
    </row>
    <row r="26" spans="1:20" ht="24" customHeight="1" x14ac:dyDescent="0.35">
      <c r="A26" s="309"/>
      <c r="B26" s="352"/>
      <c r="C26" s="320"/>
      <c r="D26" s="320"/>
      <c r="E26" s="320"/>
      <c r="F26" s="320"/>
      <c r="G26" s="320"/>
      <c r="H26" s="569" t="s">
        <v>180</v>
      </c>
      <c r="I26" s="573"/>
      <c r="J26" s="573"/>
      <c r="K26" s="570"/>
      <c r="L26" s="307"/>
      <c r="M26" s="308"/>
      <c r="N26" s="540">
        <f>J27-50</f>
        <v>0.45142857142857196</v>
      </c>
      <c r="O26" s="542">
        <f>O25*N26/N25</f>
        <v>1.8057142857142879E-2</v>
      </c>
    </row>
    <row r="27" spans="1:20" ht="24" customHeight="1" x14ac:dyDescent="0.35">
      <c r="A27" s="309"/>
      <c r="B27" s="352"/>
      <c r="C27" s="320"/>
      <c r="D27" s="320"/>
      <c r="E27" s="320"/>
      <c r="F27" s="320"/>
      <c r="G27" s="311"/>
      <c r="H27" s="569"/>
      <c r="I27" s="323" t="s">
        <v>56</v>
      </c>
      <c r="J27" s="324">
        <f>S24</f>
        <v>50.451428571428572</v>
      </c>
      <c r="K27" s="570" t="s">
        <v>51</v>
      </c>
      <c r="L27" s="307"/>
      <c r="M27" s="308"/>
    </row>
    <row r="28" spans="1:20" ht="24" customHeight="1" x14ac:dyDescent="0.35">
      <c r="A28" s="325"/>
      <c r="B28" s="359"/>
      <c r="C28" s="310"/>
      <c r="D28" s="310"/>
      <c r="E28" s="310"/>
      <c r="F28" s="310"/>
      <c r="G28" s="310"/>
      <c r="H28" s="329"/>
      <c r="I28" s="423"/>
      <c r="J28" s="423"/>
      <c r="K28" s="424"/>
      <c r="L28" s="326"/>
      <c r="M28" s="299"/>
    </row>
    <row r="29" spans="1:20" ht="24" customHeight="1" x14ac:dyDescent="0.35">
      <c r="A29" s="302" t="s">
        <v>183</v>
      </c>
      <c r="B29" s="403">
        <v>4</v>
      </c>
      <c r="C29" s="332">
        <v>0.8</v>
      </c>
      <c r="D29" s="332">
        <v>0.85</v>
      </c>
      <c r="E29" s="332">
        <v>0.9</v>
      </c>
      <c r="F29" s="332">
        <v>0.95</v>
      </c>
      <c r="G29" s="332">
        <v>1</v>
      </c>
      <c r="H29" s="386" t="s">
        <v>150</v>
      </c>
      <c r="I29" s="387"/>
      <c r="J29" s="387"/>
      <c r="K29" s="388"/>
      <c r="L29" s="304">
        <v>5</v>
      </c>
      <c r="M29" s="305">
        <f>IF(L29=0,"-",ROUND(L29*B29/B$81,4))</f>
        <v>0.33329999999999999</v>
      </c>
      <c r="N29" s="425" t="s">
        <v>201</v>
      </c>
    </row>
    <row r="30" spans="1:20" ht="24" customHeight="1" x14ac:dyDescent="0.35">
      <c r="A30" s="309" t="s">
        <v>28</v>
      </c>
      <c r="B30" s="352"/>
      <c r="C30" s="320"/>
      <c r="D30" s="320"/>
      <c r="E30" s="320"/>
      <c r="F30" s="320"/>
      <c r="G30" s="320"/>
      <c r="H30" s="569" t="s">
        <v>154</v>
      </c>
      <c r="I30" s="573"/>
      <c r="J30" s="573"/>
      <c r="K30" s="570"/>
      <c r="L30" s="307"/>
      <c r="M30" s="308"/>
    </row>
    <row r="31" spans="1:20" ht="24" customHeight="1" x14ac:dyDescent="0.35">
      <c r="A31" s="309" t="s">
        <v>60</v>
      </c>
      <c r="B31" s="352"/>
      <c r="C31" s="320"/>
      <c r="D31" s="320"/>
      <c r="E31" s="320"/>
      <c r="F31" s="320"/>
      <c r="G31" s="320"/>
      <c r="H31" s="569" t="s">
        <v>64</v>
      </c>
      <c r="I31" s="573"/>
      <c r="J31" s="573"/>
      <c r="K31" s="570"/>
      <c r="L31" s="307"/>
      <c r="M31" s="308"/>
    </row>
    <row r="32" spans="1:20" ht="24" customHeight="1" x14ac:dyDescent="0.35">
      <c r="A32" s="309"/>
      <c r="B32" s="352"/>
      <c r="C32" s="320"/>
      <c r="D32" s="320"/>
      <c r="E32" s="320"/>
      <c r="F32" s="320"/>
      <c r="G32" s="320"/>
      <c r="H32" s="380" t="s">
        <v>180</v>
      </c>
      <c r="I32" s="323"/>
      <c r="J32" s="322"/>
      <c r="K32" s="382"/>
      <c r="L32" s="307"/>
      <c r="M32" s="308"/>
    </row>
    <row r="33" spans="1:14" ht="24" customHeight="1" x14ac:dyDescent="0.35">
      <c r="A33" s="309"/>
      <c r="B33" s="352"/>
      <c r="C33" s="320"/>
      <c r="D33" s="320"/>
      <c r="E33" s="320"/>
      <c r="F33" s="320"/>
      <c r="G33" s="320"/>
      <c r="H33" s="380"/>
      <c r="I33" s="323" t="s">
        <v>66</v>
      </c>
      <c r="J33" s="334">
        <f>สพญ.!P54</f>
        <v>10</v>
      </c>
      <c r="K33" s="382" t="s">
        <v>321</v>
      </c>
      <c r="L33" s="307"/>
      <c r="M33" s="308"/>
    </row>
    <row r="34" spans="1:14" ht="24" customHeight="1" x14ac:dyDescent="0.35">
      <c r="A34" s="309"/>
      <c r="B34" s="352"/>
      <c r="C34" s="320"/>
      <c r="D34" s="320"/>
      <c r="E34" s="320"/>
      <c r="F34" s="320"/>
      <c r="G34" s="320"/>
      <c r="H34" s="380"/>
      <c r="I34" s="323" t="s">
        <v>66</v>
      </c>
      <c r="J34" s="334">
        <f>สพญ.!P55</f>
        <v>2</v>
      </c>
      <c r="K34" s="382" t="s">
        <v>322</v>
      </c>
      <c r="L34" s="307"/>
      <c r="M34" s="308"/>
    </row>
    <row r="35" spans="1:14" ht="24" customHeight="1" x14ac:dyDescent="0.35">
      <c r="A35" s="309"/>
      <c r="B35" s="352"/>
      <c r="C35" s="320"/>
      <c r="D35" s="320"/>
      <c r="E35" s="320"/>
      <c r="F35" s="320"/>
      <c r="G35" s="320"/>
      <c r="H35" s="380"/>
      <c r="I35" s="323" t="s">
        <v>299</v>
      </c>
      <c r="J35" s="334">
        <f>สพญ.!P56</f>
        <v>2</v>
      </c>
      <c r="K35" s="382" t="s">
        <v>321</v>
      </c>
      <c r="L35" s="307"/>
      <c r="M35" s="308"/>
    </row>
    <row r="36" spans="1:14" ht="24" customHeight="1" x14ac:dyDescent="0.35">
      <c r="A36" s="309"/>
      <c r="B36" s="352"/>
      <c r="C36" s="320"/>
      <c r="D36" s="320"/>
      <c r="E36" s="320"/>
      <c r="F36" s="320"/>
      <c r="G36" s="320"/>
      <c r="H36" s="569"/>
      <c r="I36" s="323" t="s">
        <v>67</v>
      </c>
      <c r="J36" s="334">
        <f>สพญ.!Q54+สพญ.!Q55+สพญ.!Q56</f>
        <v>14</v>
      </c>
      <c r="K36" s="382" t="s">
        <v>61</v>
      </c>
      <c r="L36" s="307"/>
      <c r="M36" s="308"/>
    </row>
    <row r="37" spans="1:14" ht="24" customHeight="1" x14ac:dyDescent="0.35">
      <c r="A37" s="325"/>
      <c r="B37" s="359"/>
      <c r="C37" s="310"/>
      <c r="D37" s="310"/>
      <c r="E37" s="310"/>
      <c r="F37" s="310"/>
      <c r="G37" s="310"/>
      <c r="H37" s="565"/>
      <c r="I37" s="323" t="s">
        <v>81</v>
      </c>
      <c r="J37" s="516">
        <f>(J36*100)/(J33+J34+J35)</f>
        <v>100</v>
      </c>
      <c r="K37" s="570" t="s">
        <v>51</v>
      </c>
      <c r="L37" s="326"/>
      <c r="M37" s="299"/>
    </row>
    <row r="38" spans="1:14" ht="24" customHeight="1" x14ac:dyDescent="0.35">
      <c r="A38" s="302" t="s">
        <v>184</v>
      </c>
      <c r="B38" s="403">
        <v>4</v>
      </c>
      <c r="C38" s="332">
        <v>0.5</v>
      </c>
      <c r="D38" s="332">
        <v>0.75</v>
      </c>
      <c r="E38" s="332">
        <v>1</v>
      </c>
      <c r="F38" s="332">
        <v>1</v>
      </c>
      <c r="G38" s="332">
        <v>1</v>
      </c>
      <c r="H38" s="574" t="s">
        <v>152</v>
      </c>
      <c r="I38" s="571"/>
      <c r="J38" s="571"/>
      <c r="K38" s="572"/>
      <c r="L38" s="304">
        <v>5</v>
      </c>
      <c r="M38" s="305">
        <f>IF(L38=0,"-",ROUND(L38*B38/B$81,4))</f>
        <v>0.33329999999999999</v>
      </c>
    </row>
    <row r="39" spans="1:14" ht="24" customHeight="1" x14ac:dyDescent="0.35">
      <c r="A39" s="309" t="s">
        <v>151</v>
      </c>
      <c r="B39" s="406"/>
      <c r="C39" s="335"/>
      <c r="D39" s="335"/>
      <c r="E39" s="335"/>
      <c r="F39" s="335" t="s">
        <v>70</v>
      </c>
      <c r="G39" s="335" t="s">
        <v>70</v>
      </c>
      <c r="H39" s="573" t="s">
        <v>153</v>
      </c>
      <c r="I39" s="573"/>
      <c r="J39" s="573"/>
      <c r="K39" s="570"/>
      <c r="L39" s="307"/>
      <c r="M39" s="308"/>
    </row>
    <row r="40" spans="1:14" ht="24" customHeight="1" x14ac:dyDescent="0.35">
      <c r="A40" s="309"/>
      <c r="B40" s="406"/>
      <c r="C40" s="335"/>
      <c r="D40" s="335"/>
      <c r="E40" s="335"/>
      <c r="F40" s="335" t="s">
        <v>137</v>
      </c>
      <c r="G40" s="335" t="s">
        <v>138</v>
      </c>
      <c r="H40" s="573" t="s">
        <v>180</v>
      </c>
      <c r="I40" s="573"/>
      <c r="J40" s="573"/>
      <c r="K40" s="570"/>
      <c r="L40" s="307"/>
      <c r="M40" s="308"/>
    </row>
    <row r="41" spans="1:14" ht="24" customHeight="1" x14ac:dyDescent="0.35">
      <c r="A41" s="309"/>
      <c r="B41" s="406"/>
      <c r="C41" s="336"/>
      <c r="D41" s="336"/>
      <c r="E41" s="336"/>
      <c r="F41" s="336"/>
      <c r="G41" s="390"/>
      <c r="H41" s="569"/>
      <c r="I41" s="323" t="s">
        <v>56</v>
      </c>
      <c r="J41" s="324">
        <v>100</v>
      </c>
      <c r="K41" s="570" t="s">
        <v>51</v>
      </c>
      <c r="L41" s="307"/>
      <c r="M41" s="308"/>
    </row>
    <row r="42" spans="1:14" ht="24" customHeight="1" x14ac:dyDescent="0.35">
      <c r="A42" s="325"/>
      <c r="B42" s="359"/>
      <c r="C42" s="310"/>
      <c r="D42" s="310"/>
      <c r="E42" s="310"/>
      <c r="F42" s="310"/>
      <c r="G42" s="310"/>
      <c r="H42" s="565"/>
      <c r="I42" s="566"/>
      <c r="J42" s="566"/>
      <c r="K42" s="567"/>
      <c r="L42" s="326"/>
      <c r="M42" s="299"/>
    </row>
    <row r="43" spans="1:14" ht="24" customHeight="1" x14ac:dyDescent="0.35">
      <c r="A43" s="302" t="s">
        <v>185</v>
      </c>
      <c r="B43" s="403">
        <v>12</v>
      </c>
      <c r="C43" s="332">
        <v>0.78</v>
      </c>
      <c r="D43" s="332">
        <v>0.81</v>
      </c>
      <c r="E43" s="332">
        <v>0.84</v>
      </c>
      <c r="F43" s="332">
        <v>0.87</v>
      </c>
      <c r="G43" s="332">
        <v>0.9</v>
      </c>
      <c r="H43" s="574" t="s">
        <v>186</v>
      </c>
      <c r="I43" s="571"/>
      <c r="J43" s="571"/>
      <c r="K43" s="572"/>
      <c r="L43" s="304">
        <v>5</v>
      </c>
      <c r="M43" s="305">
        <f>IF(L43=0,"-",ROUND(L43*B43/B$81,4))</f>
        <v>1</v>
      </c>
      <c r="N43" s="579" t="s">
        <v>290</v>
      </c>
    </row>
    <row r="44" spans="1:14" ht="24" customHeight="1" x14ac:dyDescent="0.35">
      <c r="A44" s="309" t="s">
        <v>85</v>
      </c>
      <c r="B44" s="352"/>
      <c r="C44" s="320"/>
      <c r="D44" s="320"/>
      <c r="E44" s="320"/>
      <c r="F44" s="320"/>
      <c r="G44" s="320"/>
      <c r="H44" s="569" t="s">
        <v>196</v>
      </c>
      <c r="I44" s="573"/>
      <c r="J44" s="573"/>
      <c r="K44" s="570"/>
      <c r="L44" s="307"/>
      <c r="M44" s="308"/>
    </row>
    <row r="45" spans="1:14" ht="24" customHeight="1" x14ac:dyDescent="0.35">
      <c r="A45" s="309"/>
      <c r="B45" s="352"/>
      <c r="C45" s="320"/>
      <c r="D45" s="320"/>
      <c r="E45" s="320"/>
      <c r="F45" s="320"/>
      <c r="G45" s="320"/>
      <c r="H45" s="327"/>
      <c r="I45" s="327" t="s">
        <v>87</v>
      </c>
      <c r="J45" s="429">
        <v>964120000</v>
      </c>
      <c r="K45" s="570" t="s">
        <v>187</v>
      </c>
      <c r="L45" s="307"/>
      <c r="M45" s="308"/>
    </row>
    <row r="46" spans="1:14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3" t="s">
        <v>188</v>
      </c>
      <c r="J46" s="430">
        <v>900760000</v>
      </c>
      <c r="K46" s="570" t="s">
        <v>187</v>
      </c>
      <c r="L46" s="307"/>
      <c r="M46" s="308"/>
    </row>
    <row r="47" spans="1:14" ht="24" customHeight="1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189</v>
      </c>
      <c r="J47" s="426">
        <f>J46*100/J45</f>
        <v>93.428203958013526</v>
      </c>
      <c r="K47" s="570" t="s">
        <v>51</v>
      </c>
      <c r="L47" s="307"/>
      <c r="M47" s="308"/>
    </row>
    <row r="48" spans="1:14" ht="24" customHeight="1" x14ac:dyDescent="0.35">
      <c r="A48" s="325"/>
      <c r="B48" s="359"/>
      <c r="C48" s="310"/>
      <c r="D48" s="310"/>
      <c r="E48" s="310"/>
      <c r="F48" s="310"/>
      <c r="G48" s="310"/>
      <c r="H48" s="337"/>
      <c r="I48" s="423"/>
      <c r="J48" s="338"/>
      <c r="K48" s="424"/>
      <c r="L48" s="326"/>
      <c r="M48" s="299"/>
    </row>
    <row r="49" spans="1:32" ht="24" customHeight="1" x14ac:dyDescent="0.35">
      <c r="A49" s="339" t="s">
        <v>190</v>
      </c>
      <c r="B49" s="407">
        <v>4</v>
      </c>
      <c r="C49" s="340">
        <v>0.65</v>
      </c>
      <c r="D49" s="340">
        <v>0.7</v>
      </c>
      <c r="E49" s="340">
        <v>0.75</v>
      </c>
      <c r="F49" s="340">
        <v>0.8</v>
      </c>
      <c r="G49" s="340">
        <v>0.85</v>
      </c>
      <c r="H49" s="574" t="s">
        <v>156</v>
      </c>
      <c r="I49" s="571"/>
      <c r="J49" s="571"/>
      <c r="K49" s="572"/>
      <c r="L49" s="304">
        <v>1</v>
      </c>
      <c r="M49" s="305">
        <f>IF(L49=0,"-",ROUND(L49*B49/B$81,4))</f>
        <v>6.6699999999999995E-2</v>
      </c>
      <c r="P49" s="347"/>
    </row>
    <row r="50" spans="1:32" ht="24" customHeight="1" x14ac:dyDescent="0.35">
      <c r="A50" s="309" t="s">
        <v>145</v>
      </c>
      <c r="B50" s="352"/>
      <c r="C50" s="320"/>
      <c r="D50" s="320"/>
      <c r="E50" s="320"/>
      <c r="F50" s="320"/>
      <c r="G50" s="320"/>
      <c r="H50" s="569" t="s">
        <v>104</v>
      </c>
      <c r="I50" s="573"/>
      <c r="J50" s="573"/>
      <c r="K50" s="570"/>
      <c r="L50" s="307"/>
      <c r="M50" s="308"/>
    </row>
    <row r="51" spans="1:32" ht="24" customHeight="1" x14ac:dyDescent="0.35">
      <c r="A51" s="389" t="s">
        <v>155</v>
      </c>
      <c r="B51" s="352"/>
      <c r="C51" s="320"/>
      <c r="D51" s="320"/>
      <c r="E51" s="320"/>
      <c r="F51" s="320"/>
      <c r="G51" s="320"/>
      <c r="H51" s="569" t="s">
        <v>105</v>
      </c>
      <c r="I51" s="573"/>
      <c r="J51" s="573"/>
      <c r="K51" s="570"/>
      <c r="L51" s="307"/>
      <c r="M51" s="308"/>
    </row>
    <row r="52" spans="1:32" ht="24" customHeight="1" x14ac:dyDescent="0.35">
      <c r="A52" s="309"/>
      <c r="B52" s="352"/>
      <c r="C52" s="320"/>
      <c r="D52" s="320"/>
      <c r="E52" s="320"/>
      <c r="F52" s="320"/>
      <c r="G52" s="320"/>
      <c r="H52" s="341"/>
      <c r="I52" s="342" t="s">
        <v>113</v>
      </c>
      <c r="J52" s="343" t="s">
        <v>11</v>
      </c>
      <c r="K52" s="570" t="s">
        <v>51</v>
      </c>
      <c r="L52" s="307"/>
      <c r="M52" s="308"/>
    </row>
    <row r="53" spans="1:32" ht="24" customHeight="1" x14ac:dyDescent="0.35">
      <c r="A53" s="325"/>
      <c r="B53" s="359"/>
      <c r="C53" s="310"/>
      <c r="D53" s="310"/>
      <c r="E53" s="310"/>
      <c r="F53" s="310"/>
      <c r="G53" s="415"/>
      <c r="H53" s="891" t="s">
        <v>211</v>
      </c>
      <c r="I53" s="892"/>
      <c r="J53" s="892"/>
      <c r="K53" s="893"/>
      <c r="L53" s="326"/>
      <c r="M53" s="299"/>
      <c r="R53" s="349"/>
    </row>
    <row r="54" spans="1:32" ht="24" customHeight="1" x14ac:dyDescent="0.35">
      <c r="A54" s="302" t="s">
        <v>106</v>
      </c>
      <c r="B54" s="407">
        <v>4</v>
      </c>
      <c r="C54" s="346" t="s">
        <v>29</v>
      </c>
      <c r="D54" s="346" t="s">
        <v>30</v>
      </c>
      <c r="E54" s="346" t="s">
        <v>31</v>
      </c>
      <c r="F54" s="346" t="s">
        <v>32</v>
      </c>
      <c r="G54" s="346" t="s">
        <v>33</v>
      </c>
      <c r="H54" s="574" t="s">
        <v>108</v>
      </c>
      <c r="I54" s="571"/>
      <c r="J54" s="571"/>
      <c r="K54" s="572"/>
      <c r="L54" s="304">
        <v>2</v>
      </c>
      <c r="M54" s="305">
        <f>IF(L54=0,"-",ROUND(L54*B54/B$81,4))</f>
        <v>0.1333</v>
      </c>
      <c r="N54" s="580" t="s">
        <v>323</v>
      </c>
      <c r="O54" s="581"/>
    </row>
    <row r="55" spans="1:32" ht="24" customHeight="1" x14ac:dyDescent="0.35">
      <c r="A55" s="309" t="s">
        <v>107</v>
      </c>
      <c r="B55" s="352"/>
      <c r="C55" s="348">
        <v>1.5</v>
      </c>
      <c r="D55" s="348">
        <v>2</v>
      </c>
      <c r="E55" s="348">
        <v>2.5</v>
      </c>
      <c r="F55" s="348">
        <v>3</v>
      </c>
      <c r="G55" s="348">
        <v>5</v>
      </c>
      <c r="H55" s="569" t="s">
        <v>146</v>
      </c>
      <c r="I55" s="573"/>
      <c r="J55" s="573"/>
      <c r="K55" s="570"/>
      <c r="L55" s="307"/>
      <c r="M55" s="30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 ht="24" customHeight="1" x14ac:dyDescent="0.35">
      <c r="A56" s="309"/>
      <c r="B56" s="352"/>
      <c r="C56" s="344"/>
      <c r="D56" s="344"/>
      <c r="E56" s="344"/>
      <c r="F56" s="344"/>
      <c r="G56" s="344"/>
      <c r="H56" s="569" t="s">
        <v>110</v>
      </c>
      <c r="I56" s="573"/>
      <c r="J56" s="573"/>
      <c r="K56" s="570"/>
      <c r="L56" s="307"/>
      <c r="M56" s="308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</row>
    <row r="57" spans="1:32" ht="24" customHeight="1" x14ac:dyDescent="0.35">
      <c r="A57" s="309"/>
      <c r="B57" s="352"/>
      <c r="C57" s="344"/>
      <c r="D57" s="344"/>
      <c r="E57" s="344"/>
      <c r="F57" s="344"/>
      <c r="G57" s="344"/>
      <c r="H57" s="569" t="s">
        <v>191</v>
      </c>
      <c r="I57" s="573"/>
      <c r="J57" s="573"/>
      <c r="K57" s="570"/>
      <c r="L57" s="307"/>
      <c r="M57" s="308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</row>
    <row r="58" spans="1:32" ht="24" customHeight="1" x14ac:dyDescent="0.35">
      <c r="A58" s="309"/>
      <c r="B58" s="352"/>
      <c r="C58" s="344"/>
      <c r="D58" s="344"/>
      <c r="E58" s="344"/>
      <c r="F58" s="344"/>
      <c r="G58" s="344"/>
      <c r="H58" s="569"/>
      <c r="I58" s="323" t="s">
        <v>112</v>
      </c>
      <c r="J58" s="324">
        <v>2</v>
      </c>
      <c r="K58" s="382"/>
      <c r="L58" s="307"/>
      <c r="M58" s="308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</row>
    <row r="59" spans="1:32" ht="24" customHeight="1" x14ac:dyDescent="0.35">
      <c r="A59" s="325"/>
      <c r="B59" s="359"/>
      <c r="C59" s="310"/>
      <c r="D59" s="310"/>
      <c r="E59" s="310"/>
      <c r="F59" s="310"/>
      <c r="G59" s="310"/>
      <c r="H59" s="891"/>
      <c r="I59" s="892"/>
      <c r="J59" s="892"/>
      <c r="K59" s="893"/>
      <c r="L59" s="326"/>
      <c r="M59" s="299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</row>
    <row r="60" spans="1:32" ht="24" customHeight="1" x14ac:dyDescent="0.35">
      <c r="A60" s="350" t="s">
        <v>132</v>
      </c>
      <c r="B60" s="407">
        <v>4</v>
      </c>
      <c r="C60" s="340">
        <v>0.1</v>
      </c>
      <c r="D60" s="340">
        <v>0.3</v>
      </c>
      <c r="E60" s="340">
        <v>0.5</v>
      </c>
      <c r="F60" s="340">
        <v>0.7</v>
      </c>
      <c r="G60" s="340">
        <v>1</v>
      </c>
      <c r="H60" s="574" t="s">
        <v>123</v>
      </c>
      <c r="I60" s="571"/>
      <c r="J60" s="571"/>
      <c r="K60" s="572"/>
      <c r="L60" s="304">
        <f>4+P61</f>
        <v>5</v>
      </c>
      <c r="M60" s="305">
        <f>IF(L60=0,"-",ROUND(L60*B60/B$81,4))</f>
        <v>0.33329999999999999</v>
      </c>
      <c r="N60" s="481" t="s">
        <v>202</v>
      </c>
      <c r="O60" s="356">
        <v>30</v>
      </c>
      <c r="P60" s="616">
        <v>1</v>
      </c>
      <c r="Q60" s="356"/>
      <c r="R60" s="356"/>
      <c r="S60" s="356"/>
      <c r="T60" s="356"/>
      <c r="U60" s="356"/>
      <c r="V60" s="357"/>
      <c r="W60" s="356"/>
      <c r="X60" s="356"/>
      <c r="Y60" s="356"/>
      <c r="Z60" s="356"/>
      <c r="AA60" s="356"/>
      <c r="AB60" s="356"/>
      <c r="AC60" s="356"/>
      <c r="AD60" s="356"/>
      <c r="AE60" s="356"/>
      <c r="AF60" s="356"/>
    </row>
    <row r="61" spans="1:32" ht="24" customHeight="1" x14ac:dyDescent="0.35">
      <c r="A61" s="351" t="s">
        <v>192</v>
      </c>
      <c r="B61" s="352"/>
      <c r="C61" s="320"/>
      <c r="D61" s="320"/>
      <c r="E61" s="320"/>
      <c r="F61" s="320"/>
      <c r="G61" s="311"/>
      <c r="H61" s="569" t="s">
        <v>124</v>
      </c>
      <c r="I61" s="322"/>
      <c r="J61" s="353"/>
      <c r="K61" s="354"/>
      <c r="L61" s="355"/>
      <c r="M61" s="308"/>
      <c r="N61" s="481" t="s">
        <v>236</v>
      </c>
      <c r="O61" s="729">
        <f>J65-70</f>
        <v>30</v>
      </c>
      <c r="P61" s="616">
        <f>P60*O61/O60</f>
        <v>1</v>
      </c>
      <c r="Q61" s="356"/>
      <c r="R61" s="356"/>
      <c r="S61" s="356"/>
      <c r="T61" s="356"/>
      <c r="U61" s="356"/>
      <c r="V61" s="357"/>
      <c r="W61" s="356"/>
      <c r="X61" s="356"/>
      <c r="Y61" s="356"/>
      <c r="Z61" s="356"/>
      <c r="AA61" s="356"/>
      <c r="AB61" s="356"/>
      <c r="AC61" s="356"/>
      <c r="AD61" s="356"/>
      <c r="AE61" s="356"/>
      <c r="AF61" s="356"/>
    </row>
    <row r="62" spans="1:32" ht="24" customHeight="1" x14ac:dyDescent="0.35">
      <c r="A62" s="351"/>
      <c r="B62" s="352"/>
      <c r="C62" s="320"/>
      <c r="D62" s="320"/>
      <c r="E62" s="320"/>
      <c r="F62" s="320"/>
      <c r="G62" s="320"/>
      <c r="H62" s="573" t="s">
        <v>125</v>
      </c>
      <c r="I62" s="322"/>
      <c r="J62" s="353"/>
      <c r="K62" s="354"/>
      <c r="L62" s="355"/>
      <c r="M62" s="308"/>
    </row>
    <row r="63" spans="1:32" ht="24" customHeight="1" x14ac:dyDescent="0.35">
      <c r="A63" s="351"/>
      <c r="B63" s="352"/>
      <c r="C63" s="320"/>
      <c r="D63" s="320"/>
      <c r="E63" s="320"/>
      <c r="F63" s="320"/>
      <c r="G63" s="320"/>
      <c r="H63" s="569" t="s">
        <v>126</v>
      </c>
      <c r="I63" s="322"/>
      <c r="J63" s="353"/>
      <c r="K63" s="354"/>
      <c r="L63" s="355"/>
      <c r="M63" s="308"/>
    </row>
    <row r="64" spans="1:32" ht="24" customHeight="1" x14ac:dyDescent="0.35">
      <c r="A64" s="351"/>
      <c r="B64" s="352"/>
      <c r="C64" s="320"/>
      <c r="D64" s="320"/>
      <c r="E64" s="320"/>
      <c r="F64" s="320"/>
      <c r="G64" s="320"/>
      <c r="H64" s="569" t="s">
        <v>127</v>
      </c>
      <c r="I64" s="322"/>
      <c r="J64" s="353"/>
      <c r="K64" s="354"/>
      <c r="L64" s="355"/>
      <c r="M64" s="308"/>
    </row>
    <row r="65" spans="1:15" ht="24" customHeight="1" x14ac:dyDescent="0.35">
      <c r="A65" s="351"/>
      <c r="B65" s="352"/>
      <c r="C65" s="320"/>
      <c r="D65" s="320"/>
      <c r="E65" s="320"/>
      <c r="F65" s="320"/>
      <c r="G65" s="320"/>
      <c r="H65" s="569"/>
      <c r="I65" s="323" t="s">
        <v>114</v>
      </c>
      <c r="J65" s="408">
        <f>สพญ.!S88</f>
        <v>100</v>
      </c>
      <c r="K65" s="382" t="s">
        <v>51</v>
      </c>
      <c r="L65" s="355"/>
      <c r="M65" s="308"/>
    </row>
    <row r="66" spans="1:15" ht="24" customHeight="1" x14ac:dyDescent="0.35">
      <c r="A66" s="358"/>
      <c r="B66" s="359"/>
      <c r="C66" s="310"/>
      <c r="D66" s="310"/>
      <c r="E66" s="310"/>
      <c r="F66" s="310"/>
      <c r="G66" s="310"/>
      <c r="H66" s="330"/>
      <c r="I66" s="423"/>
      <c r="J66" s="423"/>
      <c r="K66" s="424"/>
      <c r="L66" s="360"/>
      <c r="M66" s="299"/>
    </row>
    <row r="67" spans="1:15" ht="24" customHeight="1" x14ac:dyDescent="0.35">
      <c r="A67" s="302" t="s">
        <v>115</v>
      </c>
      <c r="B67" s="407">
        <v>4</v>
      </c>
      <c r="C67" s="361">
        <v>0.8</v>
      </c>
      <c r="D67" s="361">
        <v>0.85</v>
      </c>
      <c r="E67" s="361">
        <v>0.9</v>
      </c>
      <c r="F67" s="361">
        <v>0.95</v>
      </c>
      <c r="G67" s="361">
        <v>1</v>
      </c>
      <c r="H67" s="574" t="s">
        <v>157</v>
      </c>
      <c r="I67" s="571"/>
      <c r="J67" s="571"/>
      <c r="K67" s="572"/>
      <c r="L67" s="304">
        <v>5</v>
      </c>
      <c r="M67" s="305">
        <f>IF(L67=0,"-",ROUND(L67*B67/B$81,4))</f>
        <v>0.33329999999999999</v>
      </c>
      <c r="N67" s="425" t="s">
        <v>203</v>
      </c>
    </row>
    <row r="68" spans="1:15" ht="24" customHeight="1" x14ac:dyDescent="0.35">
      <c r="A68" s="309" t="s">
        <v>116</v>
      </c>
      <c r="B68" s="352"/>
      <c r="C68" s="348"/>
      <c r="D68" s="348"/>
      <c r="E68" s="348"/>
      <c r="F68" s="348"/>
      <c r="G68" s="348"/>
      <c r="H68" s="569" t="s">
        <v>158</v>
      </c>
      <c r="I68" s="573"/>
      <c r="J68" s="573"/>
      <c r="K68" s="570"/>
      <c r="L68" s="362"/>
      <c r="M68" s="308"/>
    </row>
    <row r="69" spans="1:15" ht="23.25" x14ac:dyDescent="0.35">
      <c r="A69" s="309" t="s">
        <v>193</v>
      </c>
      <c r="B69" s="352"/>
      <c r="C69" s="320"/>
      <c r="D69" s="320"/>
      <c r="E69" s="320"/>
      <c r="F69" s="320"/>
      <c r="G69" s="320"/>
      <c r="H69" s="569" t="s">
        <v>197</v>
      </c>
      <c r="I69" s="573"/>
      <c r="J69" s="573"/>
      <c r="K69" s="570"/>
      <c r="L69" s="362"/>
      <c r="M69" s="308"/>
    </row>
    <row r="70" spans="1:15" ht="23.25" x14ac:dyDescent="0.35">
      <c r="A70" s="309"/>
      <c r="B70" s="352"/>
      <c r="C70" s="320"/>
      <c r="D70" s="320"/>
      <c r="E70" s="320"/>
      <c r="F70" s="320"/>
      <c r="G70" s="320"/>
      <c r="H70" s="569" t="s">
        <v>120</v>
      </c>
      <c r="I70" s="573"/>
      <c r="J70" s="573"/>
      <c r="K70" s="570"/>
      <c r="L70" s="362"/>
      <c r="M70" s="308"/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69" t="s">
        <v>194</v>
      </c>
      <c r="I71" s="573"/>
      <c r="J71" s="573"/>
      <c r="K71" s="570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44"/>
      <c r="H72" s="569" t="s">
        <v>195</v>
      </c>
      <c r="I72" s="345"/>
      <c r="J72" s="408">
        <v>100</v>
      </c>
      <c r="K72" s="413" t="s">
        <v>51</v>
      </c>
      <c r="L72" s="412"/>
      <c r="M72" s="308"/>
    </row>
    <row r="73" spans="1:15" ht="23.25" x14ac:dyDescent="0.35">
      <c r="A73" s="358"/>
      <c r="B73" s="414"/>
      <c r="C73" s="411"/>
      <c r="D73" s="411"/>
      <c r="E73" s="411"/>
      <c r="F73" s="411"/>
      <c r="G73" s="329"/>
      <c r="H73" s="576"/>
      <c r="I73" s="582"/>
      <c r="J73" s="583"/>
      <c r="K73" s="584"/>
      <c r="L73" s="416"/>
      <c r="M73" s="308"/>
    </row>
    <row r="74" spans="1:15" ht="23.25" x14ac:dyDescent="0.35">
      <c r="A74" s="351" t="s">
        <v>324</v>
      </c>
      <c r="B74" s="585">
        <v>4</v>
      </c>
      <c r="C74" s="586">
        <v>0.4</v>
      </c>
      <c r="D74" s="586">
        <v>0.45</v>
      </c>
      <c r="E74" s="586">
        <v>0.5</v>
      </c>
      <c r="F74" s="586">
        <v>0.55000000000000004</v>
      </c>
      <c r="G74" s="586">
        <v>0.6</v>
      </c>
      <c r="H74" s="569" t="s">
        <v>325</v>
      </c>
      <c r="I74" s="345"/>
      <c r="J74" s="587"/>
      <c r="K74" s="588"/>
      <c r="L74" s="412">
        <v>4</v>
      </c>
      <c r="M74" s="305">
        <f>IF(L74=0,"-",ROUND(L74*B74/B$81,4))</f>
        <v>0.26669999999999999</v>
      </c>
      <c r="N74" s="580" t="s">
        <v>323</v>
      </c>
      <c r="O74" s="581"/>
    </row>
    <row r="75" spans="1:15" ht="23.25" x14ac:dyDescent="0.35">
      <c r="A75" s="351" t="s">
        <v>326</v>
      </c>
      <c r="B75" s="406"/>
      <c r="C75" s="311"/>
      <c r="D75" s="311"/>
      <c r="E75" s="311"/>
      <c r="F75" s="311"/>
      <c r="G75" s="333"/>
      <c r="H75" s="569" t="s">
        <v>327</v>
      </c>
      <c r="I75" s="345"/>
      <c r="J75" s="587"/>
      <c r="K75" s="588"/>
      <c r="L75" s="412"/>
      <c r="M75" s="308"/>
    </row>
    <row r="76" spans="1:15" ht="23.25" x14ac:dyDescent="0.35">
      <c r="A76" s="351"/>
      <c r="B76" s="406"/>
      <c r="C76" s="311"/>
      <c r="D76" s="311"/>
      <c r="E76" s="311"/>
      <c r="F76" s="311"/>
      <c r="G76" s="333"/>
      <c r="H76" s="569"/>
      <c r="I76" s="345"/>
      <c r="J76" s="587"/>
      <c r="K76" s="588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69"/>
      <c r="I77" s="345" t="s">
        <v>174</v>
      </c>
      <c r="J77" s="589">
        <v>55</v>
      </c>
      <c r="K77" s="413" t="s">
        <v>51</v>
      </c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69"/>
      <c r="I78" s="345"/>
      <c r="J78" s="587"/>
      <c r="K78" s="588"/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69"/>
      <c r="I79" s="345"/>
      <c r="J79" s="587"/>
      <c r="K79" s="588"/>
      <c r="L79" s="412"/>
      <c r="M79" s="308"/>
    </row>
    <row r="80" spans="1:15" ht="23.25" x14ac:dyDescent="0.35">
      <c r="A80" s="358"/>
      <c r="B80" s="414"/>
      <c r="C80" s="411"/>
      <c r="D80" s="411"/>
      <c r="E80" s="411"/>
      <c r="F80" s="411"/>
      <c r="G80" s="415"/>
      <c r="H80" s="576"/>
      <c r="I80" s="345"/>
      <c r="J80" s="587"/>
      <c r="K80" s="584"/>
      <c r="L80" s="412"/>
      <c r="M80" s="308"/>
    </row>
    <row r="81" spans="1:13" ht="26.25" x14ac:dyDescent="0.4">
      <c r="A81" s="363"/>
      <c r="B81" s="409">
        <f>ROUND(SUM(B6:B80),1)</f>
        <v>60</v>
      </c>
      <c r="C81" s="364"/>
      <c r="D81" s="364"/>
      <c r="E81" s="364"/>
      <c r="F81" s="364"/>
      <c r="G81" s="365"/>
      <c r="H81" s="364"/>
      <c r="I81" s="364"/>
      <c r="J81" s="364"/>
      <c r="K81" s="364"/>
      <c r="L81" s="366" t="s">
        <v>139</v>
      </c>
      <c r="M81" s="410">
        <f>SUM(M6:M80)</f>
        <v>3.3995000000000002</v>
      </c>
    </row>
  </sheetData>
  <mergeCells count="21">
    <mergeCell ref="H23:K23"/>
    <mergeCell ref="H53:K53"/>
    <mergeCell ref="H59:K59"/>
    <mergeCell ref="H14:K14"/>
    <mergeCell ref="H15:K15"/>
    <mergeCell ref="H17:M17"/>
    <mergeCell ref="H18:M18"/>
    <mergeCell ref="H19:M19"/>
    <mergeCell ref="H20:M20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8" max="12" man="1"/>
    <brk id="53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2" width="9.140625" style="292"/>
    <col min="23" max="23" width="13.42578125" style="292" bestFit="1" customWidth="1"/>
    <col min="24" max="24" width="9.85546875" style="292" bestFit="1" customWidth="1"/>
    <col min="25" max="16384" width="9.140625" style="292"/>
  </cols>
  <sheetData>
    <row r="1" spans="1:15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5" ht="24" customHeight="1" x14ac:dyDescent="0.4">
      <c r="A2" s="897" t="s">
        <v>391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15" ht="24" customHeight="1" x14ac:dyDescent="0.35">
      <c r="A3" s="293" t="s">
        <v>390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5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15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15" ht="24" customHeight="1" x14ac:dyDescent="0.35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878" t="s">
        <v>14</v>
      </c>
      <c r="I6" s="878"/>
      <c r="J6" s="879" t="s">
        <v>160</v>
      </c>
      <c r="K6" s="879"/>
      <c r="L6" s="395">
        <v>5</v>
      </c>
      <c r="M6" s="305">
        <f>IF(L6=0,"-",ROUND(L6*B6/B$80,4))</f>
        <v>0.83330000000000004</v>
      </c>
      <c r="N6" s="292">
        <v>10</v>
      </c>
      <c r="O6" s="292">
        <v>1</v>
      </c>
    </row>
    <row r="7" spans="1:15" ht="24" customHeight="1" x14ac:dyDescent="0.35">
      <c r="A7" s="309" t="s">
        <v>161</v>
      </c>
      <c r="B7" s="327"/>
      <c r="C7" s="316"/>
      <c r="D7" s="316"/>
      <c r="E7" s="316"/>
      <c r="F7" s="316"/>
      <c r="G7" s="396"/>
      <c r="H7" s="878"/>
      <c r="I7" s="878"/>
      <c r="J7" s="568" t="s">
        <v>17</v>
      </c>
      <c r="K7" s="367" t="s">
        <v>18</v>
      </c>
      <c r="L7" s="355"/>
      <c r="M7" s="308"/>
      <c r="N7" s="292">
        <f>100-93.93</f>
        <v>6.0699999999999932</v>
      </c>
      <c r="O7" s="292">
        <f>O6*N7/N6</f>
        <v>0.60699999999999932</v>
      </c>
    </row>
    <row r="8" spans="1:15" ht="24" customHeight="1" x14ac:dyDescent="0.35">
      <c r="A8" s="309"/>
      <c r="B8" s="327"/>
      <c r="C8" s="318"/>
      <c r="D8" s="318"/>
      <c r="E8" s="318"/>
      <c r="F8" s="318"/>
      <c r="G8" s="397"/>
      <c r="H8" s="574" t="s">
        <v>162</v>
      </c>
      <c r="I8" s="572"/>
      <c r="J8" s="398">
        <v>61</v>
      </c>
      <c r="K8" s="597">
        <v>1</v>
      </c>
      <c r="L8" s="355"/>
      <c r="M8" s="308"/>
      <c r="N8" s="489" t="s">
        <v>236</v>
      </c>
    </row>
    <row r="9" spans="1:15" ht="24" customHeight="1" x14ac:dyDescent="0.35">
      <c r="A9" s="309"/>
      <c r="B9" s="399"/>
      <c r="C9" s="319"/>
      <c r="D9" s="320"/>
      <c r="E9" s="320"/>
      <c r="F9" s="320"/>
      <c r="G9" s="311"/>
      <c r="H9" s="880" t="s">
        <v>163</v>
      </c>
      <c r="I9" s="881"/>
      <c r="J9" s="400"/>
      <c r="K9" s="598" t="s">
        <v>328</v>
      </c>
      <c r="L9" s="355"/>
      <c r="M9" s="308"/>
    </row>
    <row r="10" spans="1:15" ht="24" customHeight="1" x14ac:dyDescent="0.35">
      <c r="A10" s="309"/>
      <c r="B10" s="399"/>
      <c r="C10" s="320"/>
      <c r="D10" s="320"/>
      <c r="E10" s="320"/>
      <c r="F10" s="320"/>
      <c r="G10" s="311"/>
      <c r="H10" s="880"/>
      <c r="I10" s="881"/>
      <c r="J10" s="400"/>
      <c r="K10" s="599"/>
      <c r="L10" s="355"/>
      <c r="M10" s="308"/>
    </row>
    <row r="11" spans="1:15" ht="24" customHeight="1" thickBot="1" x14ac:dyDescent="0.4">
      <c r="A11" s="309"/>
      <c r="B11" s="399"/>
      <c r="C11" s="310"/>
      <c r="D11" s="310"/>
      <c r="E11" s="310"/>
      <c r="F11" s="310" t="s">
        <v>164</v>
      </c>
      <c r="G11" s="310"/>
      <c r="H11" s="888" t="s">
        <v>20</v>
      </c>
      <c r="I11" s="888"/>
      <c r="J11" s="401">
        <f>SUM(J5:J10)</f>
        <v>61</v>
      </c>
      <c r="K11" s="600"/>
      <c r="L11" s="355"/>
      <c r="M11" s="308"/>
    </row>
    <row r="12" spans="1:15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894" t="s">
        <v>141</v>
      </c>
      <c r="I12" s="895"/>
      <c r="J12" s="895"/>
      <c r="K12" s="896"/>
      <c r="L12" s="304">
        <v>4.8018999999999998</v>
      </c>
      <c r="M12" s="305">
        <f>IF(L12=0,"-",ROUND(L12*B12/B$80,4))</f>
        <v>0.26679999999999998</v>
      </c>
    </row>
    <row r="13" spans="1:15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880" t="s">
        <v>142</v>
      </c>
      <c r="I13" s="887"/>
      <c r="J13" s="887"/>
      <c r="K13" s="881"/>
      <c r="L13" s="307"/>
      <c r="M13" s="308"/>
      <c r="N13" s="489" t="s">
        <v>236</v>
      </c>
    </row>
    <row r="14" spans="1:15" ht="24" customHeight="1" x14ac:dyDescent="0.35">
      <c r="A14" s="309"/>
      <c r="B14" s="399"/>
      <c r="C14" s="320"/>
      <c r="D14" s="320"/>
      <c r="E14" s="320"/>
      <c r="F14" s="320"/>
      <c r="G14" s="320"/>
      <c r="H14" s="880" t="s">
        <v>143</v>
      </c>
      <c r="I14" s="887"/>
      <c r="J14" s="887"/>
      <c r="K14" s="881"/>
      <c r="L14" s="307"/>
      <c r="M14" s="308"/>
    </row>
    <row r="15" spans="1:15" ht="24" customHeight="1" x14ac:dyDescent="0.35">
      <c r="A15" s="309"/>
      <c r="B15" s="399"/>
      <c r="C15" s="320"/>
      <c r="D15" s="320"/>
      <c r="E15" s="320"/>
      <c r="F15" s="320"/>
      <c r="G15" s="320"/>
      <c r="H15" s="880" t="s">
        <v>144</v>
      </c>
      <c r="I15" s="887"/>
      <c r="J15" s="887"/>
      <c r="K15" s="881"/>
      <c r="L15" s="307"/>
      <c r="M15" s="308"/>
    </row>
    <row r="16" spans="1:15" ht="24" customHeight="1" x14ac:dyDescent="0.35">
      <c r="A16" s="309"/>
      <c r="B16" s="399"/>
      <c r="C16" s="320"/>
      <c r="D16" s="320"/>
      <c r="E16" s="320"/>
      <c r="F16" s="320"/>
      <c r="G16" s="320"/>
      <c r="H16" s="880" t="s">
        <v>170</v>
      </c>
      <c r="I16" s="887"/>
      <c r="J16" s="887"/>
      <c r="K16" s="881"/>
      <c r="L16" s="307"/>
      <c r="M16" s="308"/>
    </row>
    <row r="17" spans="1:26" ht="24" customHeight="1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0" t="s">
        <v>51</v>
      </c>
      <c r="L17" s="307"/>
      <c r="M17" s="308"/>
    </row>
    <row r="18" spans="1:26" ht="24" customHeight="1" x14ac:dyDescent="0.35">
      <c r="A18" s="325"/>
      <c r="B18" s="402"/>
      <c r="C18" s="310"/>
      <c r="D18" s="310"/>
      <c r="E18" s="310"/>
      <c r="F18" s="310"/>
      <c r="G18" s="310"/>
      <c r="H18" s="891" t="s">
        <v>316</v>
      </c>
      <c r="I18" s="892"/>
      <c r="J18" s="892"/>
      <c r="K18" s="893"/>
      <c r="L18" s="326"/>
      <c r="M18" s="299"/>
    </row>
    <row r="19" spans="1:26" ht="24" customHeight="1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895" t="s">
        <v>171</v>
      </c>
      <c r="I19" s="895"/>
      <c r="J19" s="895"/>
      <c r="K19" s="896"/>
      <c r="L19" s="304">
        <f>1+P20</f>
        <v>1.4680000000000006</v>
      </c>
      <c r="M19" s="305">
        <f>IF(L19=0,"-",ROUND(L19*B19/B$80,4))</f>
        <v>0.2447</v>
      </c>
      <c r="N19" s="601" t="s">
        <v>329</v>
      </c>
      <c r="O19" s="292">
        <v>10</v>
      </c>
      <c r="P19" s="292">
        <v>1</v>
      </c>
      <c r="S19" s="602"/>
      <c r="T19" s="603"/>
      <c r="U19" s="442"/>
    </row>
    <row r="20" spans="1:26" ht="24" customHeight="1" x14ac:dyDescent="0.35">
      <c r="A20" s="309" t="s">
        <v>21</v>
      </c>
      <c r="B20" s="352"/>
      <c r="C20" s="320"/>
      <c r="D20" s="320"/>
      <c r="E20" s="320"/>
      <c r="F20" s="320"/>
      <c r="G20" s="320"/>
      <c r="H20" s="880" t="s">
        <v>83</v>
      </c>
      <c r="I20" s="887"/>
      <c r="J20" s="887"/>
      <c r="K20" s="881"/>
      <c r="L20" s="307"/>
      <c r="M20" s="308"/>
      <c r="N20" s="425" t="s">
        <v>199</v>
      </c>
      <c r="O20" s="540">
        <f>J23-60</f>
        <v>4.6800000000000068</v>
      </c>
      <c r="P20" s="292">
        <f>P19*O20/O19</f>
        <v>0.46800000000000069</v>
      </c>
    </row>
    <row r="21" spans="1:26" ht="24" customHeight="1" x14ac:dyDescent="0.35">
      <c r="A21" s="309"/>
      <c r="B21" s="352"/>
      <c r="C21" s="320"/>
      <c r="D21" s="320"/>
      <c r="E21" s="320"/>
      <c r="F21" s="320"/>
      <c r="G21" s="320"/>
      <c r="H21" s="880" t="s">
        <v>172</v>
      </c>
      <c r="I21" s="887"/>
      <c r="J21" s="887"/>
      <c r="K21" s="881"/>
      <c r="L21" s="307"/>
      <c r="M21" s="308"/>
      <c r="N21" s="489" t="s">
        <v>236</v>
      </c>
      <c r="Q21" s="298" t="s">
        <v>237</v>
      </c>
      <c r="W21" s="568" t="s">
        <v>320</v>
      </c>
      <c r="X21" s="568" t="s">
        <v>238</v>
      </c>
    </row>
    <row r="22" spans="1:26" ht="24" customHeight="1" x14ac:dyDescent="0.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0"/>
      <c r="L22" s="307"/>
      <c r="M22" s="308"/>
      <c r="Q22" s="458">
        <v>2</v>
      </c>
      <c r="R22" s="459" t="s">
        <v>240</v>
      </c>
      <c r="S22" s="451"/>
      <c r="T22" s="451"/>
      <c r="U22" s="451"/>
      <c r="V22" s="452"/>
      <c r="W22" s="460">
        <f>สพญ.!R6</f>
        <v>823413039</v>
      </c>
      <c r="X22" s="472">
        <v>64.680000000000007</v>
      </c>
      <c r="Y22" s="292" t="s">
        <v>51</v>
      </c>
    </row>
    <row r="23" spans="1:26" ht="24" customHeight="1" x14ac:dyDescent="0.35">
      <c r="A23" s="309"/>
      <c r="B23" s="352"/>
      <c r="C23" s="320"/>
      <c r="D23" s="320"/>
      <c r="E23" s="320"/>
      <c r="F23" s="320"/>
      <c r="G23" s="320"/>
      <c r="H23" s="380"/>
      <c r="I23" s="323" t="s">
        <v>174</v>
      </c>
      <c r="J23" s="328">
        <f>X22</f>
        <v>64.680000000000007</v>
      </c>
      <c r="K23" s="570" t="s">
        <v>51</v>
      </c>
      <c r="L23" s="307"/>
      <c r="M23" s="308"/>
    </row>
    <row r="24" spans="1:26" ht="24" customHeight="1" x14ac:dyDescent="0.35">
      <c r="A24" s="325"/>
      <c r="B24" s="359"/>
      <c r="C24" s="310"/>
      <c r="D24" s="310"/>
      <c r="E24" s="310"/>
      <c r="F24" s="310"/>
      <c r="G24" s="310"/>
      <c r="H24" s="329"/>
      <c r="I24" s="330"/>
      <c r="J24" s="404"/>
      <c r="K24" s="331"/>
      <c r="L24" s="326"/>
      <c r="M24" s="299"/>
    </row>
    <row r="25" spans="1:26" ht="24" customHeight="1" x14ac:dyDescent="0.35">
      <c r="A25" s="302" t="s">
        <v>179</v>
      </c>
      <c r="B25" s="403">
        <v>4</v>
      </c>
      <c r="C25" s="332">
        <v>0.5</v>
      </c>
      <c r="D25" s="332">
        <v>0.75</v>
      </c>
      <c r="E25" s="332">
        <v>1</v>
      </c>
      <c r="F25" s="332">
        <v>1</v>
      </c>
      <c r="G25" s="332">
        <v>1</v>
      </c>
      <c r="H25" s="894" t="s">
        <v>57</v>
      </c>
      <c r="I25" s="895"/>
      <c r="J25" s="895"/>
      <c r="K25" s="896"/>
      <c r="L25" s="304">
        <f>2+P26</f>
        <v>2.9988013714285717</v>
      </c>
      <c r="M25" s="305">
        <f>IF(L25=0,"-",ROUND(L25*B25/B$80,4))</f>
        <v>0.1666</v>
      </c>
      <c r="N25" s="425" t="s">
        <v>199</v>
      </c>
      <c r="O25" s="292">
        <v>25</v>
      </c>
      <c r="P25" s="292">
        <v>1</v>
      </c>
    </row>
    <row r="26" spans="1:26" ht="24" customHeight="1" x14ac:dyDescent="0.35">
      <c r="A26" s="309" t="s">
        <v>23</v>
      </c>
      <c r="B26" s="352"/>
      <c r="C26" s="320"/>
      <c r="D26" s="320"/>
      <c r="E26" s="320"/>
      <c r="F26" s="335" t="s">
        <v>70</v>
      </c>
      <c r="G26" s="335" t="s">
        <v>70</v>
      </c>
      <c r="H26" s="569" t="s">
        <v>58</v>
      </c>
      <c r="I26" s="573"/>
      <c r="J26" s="573"/>
      <c r="K26" s="570"/>
      <c r="L26" s="307"/>
      <c r="M26" s="308"/>
      <c r="N26" s="489" t="s">
        <v>236</v>
      </c>
      <c r="O26" s="540">
        <f>J29-75</f>
        <v>24.970034285714291</v>
      </c>
      <c r="P26" s="292">
        <f>P25*O26/O25</f>
        <v>0.99880137142857162</v>
      </c>
    </row>
    <row r="27" spans="1:26" ht="24" customHeight="1" x14ac:dyDescent="0.5">
      <c r="A27" s="309" t="s">
        <v>24</v>
      </c>
      <c r="B27" s="352"/>
      <c r="C27" s="320"/>
      <c r="D27" s="320"/>
      <c r="E27" s="320"/>
      <c r="F27" s="335" t="s">
        <v>137</v>
      </c>
      <c r="G27" s="335" t="s">
        <v>138</v>
      </c>
      <c r="H27" s="569" t="s">
        <v>147</v>
      </c>
      <c r="I27" s="573"/>
      <c r="J27" s="573"/>
      <c r="K27" s="570"/>
      <c r="L27" s="307"/>
      <c r="M27" s="308"/>
      <c r="Q27" s="298" t="s">
        <v>237</v>
      </c>
      <c r="W27" s="604" t="s">
        <v>228</v>
      </c>
      <c r="X27" s="604" t="s">
        <v>330</v>
      </c>
      <c r="Y27" s="433" t="s">
        <v>51</v>
      </c>
    </row>
    <row r="28" spans="1:26" ht="24" customHeight="1" x14ac:dyDescent="0.5">
      <c r="A28" s="309"/>
      <c r="B28" s="352"/>
      <c r="C28" s="320"/>
      <c r="D28" s="320"/>
      <c r="E28" s="320"/>
      <c r="F28" s="320"/>
      <c r="G28" s="320"/>
      <c r="H28" s="569" t="s">
        <v>180</v>
      </c>
      <c r="I28" s="573"/>
      <c r="J28" s="573"/>
      <c r="K28" s="570"/>
      <c r="L28" s="307"/>
      <c r="M28" s="308"/>
      <c r="Q28" s="458">
        <v>2</v>
      </c>
      <c r="R28" s="459" t="s">
        <v>267</v>
      </c>
      <c r="S28" s="451"/>
      <c r="T28" s="451"/>
      <c r="U28" s="451"/>
      <c r="V28" s="452"/>
      <c r="W28" s="460">
        <v>350000</v>
      </c>
      <c r="X28" s="604">
        <f>สพญ.!AB45</f>
        <v>349895.12</v>
      </c>
      <c r="Y28" s="432">
        <f>X28*100/W28</f>
        <v>99.970034285714291</v>
      </c>
      <c r="Z28" s="292" t="s">
        <v>51</v>
      </c>
    </row>
    <row r="29" spans="1:26" ht="24" customHeight="1" x14ac:dyDescent="0.35">
      <c r="A29" s="309"/>
      <c r="B29" s="352"/>
      <c r="C29" s="320"/>
      <c r="D29" s="320"/>
      <c r="E29" s="320"/>
      <c r="F29" s="320"/>
      <c r="G29" s="311"/>
      <c r="H29" s="569"/>
      <c r="I29" s="323" t="s">
        <v>56</v>
      </c>
      <c r="J29" s="605">
        <f>Y28</f>
        <v>99.970034285714291</v>
      </c>
      <c r="K29" s="570" t="s">
        <v>51</v>
      </c>
      <c r="L29" s="307"/>
      <c r="M29" s="308"/>
    </row>
    <row r="30" spans="1:26" ht="24" customHeight="1" x14ac:dyDescent="0.35">
      <c r="A30" s="309"/>
      <c r="B30" s="352"/>
      <c r="C30" s="320"/>
      <c r="D30" s="320"/>
      <c r="E30" s="320"/>
      <c r="F30" s="320"/>
      <c r="G30" s="320"/>
      <c r="H30" s="333"/>
      <c r="I30" s="306"/>
      <c r="J30" s="306"/>
      <c r="K30" s="312"/>
      <c r="L30" s="307"/>
      <c r="M30" s="308"/>
    </row>
    <row r="31" spans="1:26" ht="24" customHeight="1" x14ac:dyDescent="0.35">
      <c r="A31" s="302" t="s">
        <v>181</v>
      </c>
      <c r="B31" s="403">
        <v>4</v>
      </c>
      <c r="C31" s="332">
        <v>0.96</v>
      </c>
      <c r="D31" s="332">
        <v>0.97</v>
      </c>
      <c r="E31" s="332">
        <v>0.98</v>
      </c>
      <c r="F31" s="332">
        <v>0.99</v>
      </c>
      <c r="G31" s="332">
        <v>1</v>
      </c>
      <c r="H31" s="574" t="s">
        <v>148</v>
      </c>
      <c r="I31" s="571"/>
      <c r="J31" s="571"/>
      <c r="K31" s="572"/>
      <c r="L31" s="304">
        <v>1</v>
      </c>
      <c r="M31" s="305">
        <f>IF(L31=0,"-",ROUND(L31*B31/B$80,4))</f>
        <v>5.5599999999999997E-2</v>
      </c>
      <c r="N31" s="601" t="s">
        <v>331</v>
      </c>
    </row>
    <row r="32" spans="1:26" ht="24" customHeight="1" x14ac:dyDescent="0.35">
      <c r="A32" s="309" t="s">
        <v>26</v>
      </c>
      <c r="B32" s="352"/>
      <c r="C32" s="320"/>
      <c r="D32" s="320"/>
      <c r="E32" s="320"/>
      <c r="F32" s="320"/>
      <c r="G32" s="320"/>
      <c r="H32" s="380" t="s">
        <v>149</v>
      </c>
      <c r="I32" s="381"/>
      <c r="J32" s="381"/>
      <c r="K32" s="382"/>
      <c r="L32" s="307"/>
      <c r="M32" s="308"/>
      <c r="N32" s="489" t="s">
        <v>236</v>
      </c>
    </row>
    <row r="33" spans="1:32" ht="24" customHeight="1" x14ac:dyDescent="0.35">
      <c r="A33" s="309"/>
      <c r="B33" s="352"/>
      <c r="C33" s="320"/>
      <c r="D33" s="320"/>
      <c r="E33" s="320"/>
      <c r="F33" s="320"/>
      <c r="G33" s="320"/>
      <c r="H33" s="380" t="s">
        <v>75</v>
      </c>
      <c r="I33" s="381"/>
      <c r="J33" s="381"/>
      <c r="K33" s="382"/>
      <c r="L33" s="307"/>
      <c r="M33" s="308"/>
    </row>
    <row r="34" spans="1:32" ht="24" customHeight="1" x14ac:dyDescent="0.35">
      <c r="A34" s="309"/>
      <c r="B34" s="352"/>
      <c r="C34" s="320"/>
      <c r="D34" s="320"/>
      <c r="E34" s="320"/>
      <c r="F34" s="320"/>
      <c r="G34" s="320"/>
      <c r="H34" s="380" t="s">
        <v>182</v>
      </c>
      <c r="I34" s="383"/>
      <c r="J34" s="383"/>
      <c r="K34" s="384"/>
      <c r="L34" s="307"/>
      <c r="M34" s="308"/>
    </row>
    <row r="35" spans="1:32" ht="24" customHeight="1" x14ac:dyDescent="0.35">
      <c r="A35" s="309"/>
      <c r="B35" s="352"/>
      <c r="C35" s="320"/>
      <c r="D35" s="320"/>
      <c r="E35" s="320"/>
      <c r="F35" s="320"/>
      <c r="G35" s="311"/>
      <c r="H35" s="569"/>
      <c r="I35" s="323" t="s">
        <v>56</v>
      </c>
      <c r="J35" s="324">
        <v>0</v>
      </c>
      <c r="K35" s="570" t="s">
        <v>51</v>
      </c>
      <c r="L35" s="307"/>
      <c r="M35" s="308"/>
    </row>
    <row r="36" spans="1:32" ht="24" customHeight="1" x14ac:dyDescent="0.35">
      <c r="A36" s="325"/>
      <c r="B36" s="359"/>
      <c r="C36" s="310"/>
      <c r="D36" s="310"/>
      <c r="E36" s="310"/>
      <c r="F36" s="310"/>
      <c r="G36" s="310"/>
      <c r="H36" s="329"/>
      <c r="I36" s="423"/>
      <c r="J36" s="423"/>
      <c r="K36" s="424"/>
      <c r="L36" s="326"/>
      <c r="M36" s="299"/>
    </row>
    <row r="37" spans="1:32" ht="24" customHeight="1" x14ac:dyDescent="0.35">
      <c r="A37" s="302" t="s">
        <v>184</v>
      </c>
      <c r="B37" s="403">
        <v>4</v>
      </c>
      <c r="C37" s="332">
        <v>0.5</v>
      </c>
      <c r="D37" s="332">
        <v>0.75</v>
      </c>
      <c r="E37" s="332">
        <v>1</v>
      </c>
      <c r="F37" s="332">
        <v>1</v>
      </c>
      <c r="G37" s="332">
        <v>1</v>
      </c>
      <c r="H37" s="574" t="s">
        <v>152</v>
      </c>
      <c r="I37" s="571"/>
      <c r="J37" s="571"/>
      <c r="K37" s="572"/>
      <c r="L37" s="304">
        <v>1</v>
      </c>
      <c r="M37" s="305">
        <f>IF(L37=0,"-",ROUND(L37*B37/B$80,4))</f>
        <v>5.5599999999999997E-2</v>
      </c>
      <c r="N37" s="292" t="s">
        <v>332</v>
      </c>
    </row>
    <row r="38" spans="1:32" ht="24" customHeight="1" x14ac:dyDescent="0.35">
      <c r="A38" s="309" t="s">
        <v>151</v>
      </c>
      <c r="B38" s="406"/>
      <c r="C38" s="335"/>
      <c r="D38" s="335"/>
      <c r="E38" s="335"/>
      <c r="F38" s="335" t="s">
        <v>70</v>
      </c>
      <c r="G38" s="335" t="s">
        <v>70</v>
      </c>
      <c r="H38" s="573" t="s">
        <v>153</v>
      </c>
      <c r="I38" s="573"/>
      <c r="J38" s="573"/>
      <c r="K38" s="570"/>
      <c r="L38" s="307"/>
      <c r="M38" s="308"/>
      <c r="N38" s="489" t="s">
        <v>236</v>
      </c>
    </row>
    <row r="39" spans="1:32" ht="24" customHeight="1" x14ac:dyDescent="0.35">
      <c r="A39" s="309"/>
      <c r="B39" s="406"/>
      <c r="C39" s="335"/>
      <c r="D39" s="335"/>
      <c r="E39" s="335"/>
      <c r="F39" s="335" t="s">
        <v>137</v>
      </c>
      <c r="G39" s="335" t="s">
        <v>138</v>
      </c>
      <c r="H39" s="573" t="s">
        <v>180</v>
      </c>
      <c r="I39" s="573"/>
      <c r="J39" s="573"/>
      <c r="K39" s="570"/>
      <c r="L39" s="307"/>
      <c r="M39" s="308"/>
    </row>
    <row r="40" spans="1:32" ht="24" customHeight="1" x14ac:dyDescent="0.35">
      <c r="A40" s="309"/>
      <c r="B40" s="406"/>
      <c r="C40" s="336"/>
      <c r="D40" s="336"/>
      <c r="E40" s="336"/>
      <c r="F40" s="336"/>
      <c r="G40" s="390"/>
      <c r="H40" s="569"/>
      <c r="I40" s="323" t="s">
        <v>56</v>
      </c>
      <c r="J40" s="324">
        <v>50</v>
      </c>
      <c r="K40" s="570" t="s">
        <v>51</v>
      </c>
      <c r="L40" s="307"/>
      <c r="M40" s="308"/>
      <c r="R40" s="349"/>
    </row>
    <row r="41" spans="1:32" ht="24" customHeight="1" x14ac:dyDescent="0.35">
      <c r="A41" s="325"/>
      <c r="B41" s="359"/>
      <c r="C41" s="310"/>
      <c r="D41" s="310"/>
      <c r="E41" s="310"/>
      <c r="F41" s="310"/>
      <c r="G41" s="310"/>
      <c r="H41" s="565"/>
      <c r="I41" s="566"/>
      <c r="J41" s="566"/>
      <c r="K41" s="567"/>
      <c r="L41" s="326"/>
      <c r="M41" s="299"/>
    </row>
    <row r="42" spans="1:32" ht="24" customHeight="1" x14ac:dyDescent="0.35">
      <c r="A42" s="302" t="s">
        <v>185</v>
      </c>
      <c r="B42" s="403">
        <v>12</v>
      </c>
      <c r="C42" s="332">
        <v>0.78</v>
      </c>
      <c r="D42" s="332">
        <v>0.81</v>
      </c>
      <c r="E42" s="332">
        <v>0.84</v>
      </c>
      <c r="F42" s="332">
        <v>0.87</v>
      </c>
      <c r="G42" s="332">
        <v>0.9</v>
      </c>
      <c r="H42" s="574" t="s">
        <v>186</v>
      </c>
      <c r="I42" s="571"/>
      <c r="J42" s="571"/>
      <c r="K42" s="572"/>
      <c r="L42" s="304">
        <f>2+P44</f>
        <v>2.434970255453166</v>
      </c>
      <c r="M42" s="305">
        <f>IF(L42=0,"-",ROUND(L42*B42/B$80,4))</f>
        <v>0.40579999999999999</v>
      </c>
      <c r="N42" s="601" t="s">
        <v>333</v>
      </c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</row>
    <row r="43" spans="1:32" ht="24" customHeight="1" x14ac:dyDescent="0.35">
      <c r="A43" s="309" t="s">
        <v>334</v>
      </c>
      <c r="B43" s="352"/>
      <c r="C43" s="320"/>
      <c r="D43" s="320"/>
      <c r="E43" s="320"/>
      <c r="F43" s="320"/>
      <c r="G43" s="320"/>
      <c r="H43" s="569" t="s">
        <v>196</v>
      </c>
      <c r="I43" s="573"/>
      <c r="J43" s="573"/>
      <c r="K43" s="570"/>
      <c r="L43" s="307"/>
      <c r="M43" s="308"/>
      <c r="N43" s="489" t="s">
        <v>236</v>
      </c>
      <c r="O43" s="356">
        <v>3</v>
      </c>
      <c r="P43" s="356">
        <v>1</v>
      </c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</row>
    <row r="44" spans="1:32" ht="24" customHeight="1" x14ac:dyDescent="0.35">
      <c r="A44" s="309"/>
      <c r="B44" s="352"/>
      <c r="C44" s="320"/>
      <c r="D44" s="320"/>
      <c r="E44" s="320"/>
      <c r="F44" s="320"/>
      <c r="G44" s="320"/>
      <c r="H44" s="327"/>
      <c r="I44" s="327" t="s">
        <v>87</v>
      </c>
      <c r="J44" s="429">
        <v>600110000</v>
      </c>
      <c r="K44" s="570" t="s">
        <v>187</v>
      </c>
      <c r="L44" s="307"/>
      <c r="M44" s="308"/>
      <c r="O44" s="357">
        <f>J46-81</f>
        <v>1.3049107663594981</v>
      </c>
      <c r="P44" s="356">
        <f>P43*O44/O43</f>
        <v>0.43497025545316603</v>
      </c>
      <c r="Q44" s="356"/>
      <c r="R44" s="356"/>
      <c r="S44" s="356"/>
      <c r="T44" s="356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 x14ac:dyDescent="0.35">
      <c r="A45" s="309"/>
      <c r="B45" s="352"/>
      <c r="C45" s="320"/>
      <c r="D45" s="320"/>
      <c r="E45" s="320"/>
      <c r="F45" s="320"/>
      <c r="G45" s="320"/>
      <c r="H45" s="327"/>
      <c r="I45" s="323" t="s">
        <v>188</v>
      </c>
      <c r="J45" s="430">
        <v>493920000</v>
      </c>
      <c r="K45" s="570" t="s">
        <v>187</v>
      </c>
      <c r="L45" s="307"/>
      <c r="M45" s="308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3" t="s">
        <v>189</v>
      </c>
      <c r="J46" s="426">
        <f>J45*100/J44</f>
        <v>82.304910766359498</v>
      </c>
      <c r="K46" s="570" t="s">
        <v>51</v>
      </c>
      <c r="L46" s="307"/>
      <c r="M46" s="308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</row>
    <row r="47" spans="1:32" ht="24" customHeight="1" x14ac:dyDescent="0.35">
      <c r="A47" s="325"/>
      <c r="B47" s="359"/>
      <c r="C47" s="310"/>
      <c r="D47" s="310"/>
      <c r="E47" s="310"/>
      <c r="F47" s="310"/>
      <c r="G47" s="310"/>
      <c r="H47" s="337"/>
      <c r="I47" s="423"/>
      <c r="J47" s="338"/>
      <c r="K47" s="424"/>
      <c r="L47" s="326"/>
      <c r="M47" s="299"/>
      <c r="O47" s="356"/>
      <c r="P47" s="356"/>
      <c r="Q47" s="356"/>
      <c r="R47" s="356"/>
      <c r="S47" s="356"/>
      <c r="T47" s="356"/>
      <c r="U47" s="356"/>
      <c r="V47" s="357"/>
      <c r="W47" s="356"/>
      <c r="X47" s="356"/>
      <c r="Y47" s="356"/>
      <c r="Z47" s="356"/>
      <c r="AA47" s="356"/>
      <c r="AB47" s="356"/>
      <c r="AC47" s="356"/>
      <c r="AD47" s="356"/>
      <c r="AE47" s="356"/>
      <c r="AF47" s="356"/>
    </row>
    <row r="48" spans="1:32" ht="24" customHeight="1" x14ac:dyDescent="0.35">
      <c r="A48" s="339" t="s">
        <v>190</v>
      </c>
      <c r="B48" s="407">
        <v>4</v>
      </c>
      <c r="C48" s="340">
        <v>0.65</v>
      </c>
      <c r="D48" s="340">
        <v>0.7</v>
      </c>
      <c r="E48" s="340">
        <v>0.75</v>
      </c>
      <c r="F48" s="340">
        <v>0.8</v>
      </c>
      <c r="G48" s="340">
        <v>0.85</v>
      </c>
      <c r="H48" s="574" t="s">
        <v>156</v>
      </c>
      <c r="I48" s="571"/>
      <c r="J48" s="571"/>
      <c r="K48" s="572"/>
      <c r="L48" s="304">
        <v>1</v>
      </c>
      <c r="M48" s="305">
        <f>IF(L48=0,"-",ROUND(L48*B48/B$80,4))</f>
        <v>5.5599999999999997E-2</v>
      </c>
      <c r="O48" s="356"/>
      <c r="P48" s="356"/>
      <c r="Q48" s="356"/>
      <c r="R48" s="356"/>
      <c r="S48" s="356"/>
      <c r="T48" s="356"/>
      <c r="U48" s="356"/>
      <c r="V48" s="357"/>
      <c r="W48" s="356"/>
      <c r="X48" s="356"/>
      <c r="Y48" s="356"/>
      <c r="Z48" s="356"/>
      <c r="AA48" s="356"/>
      <c r="AB48" s="356"/>
      <c r="AC48" s="356"/>
      <c r="AD48" s="356"/>
      <c r="AE48" s="356"/>
      <c r="AF48" s="356"/>
    </row>
    <row r="49" spans="1:16" ht="24" customHeight="1" x14ac:dyDescent="0.35">
      <c r="A49" s="309" t="s">
        <v>145</v>
      </c>
      <c r="B49" s="352"/>
      <c r="C49" s="320"/>
      <c r="D49" s="320"/>
      <c r="E49" s="320"/>
      <c r="F49" s="320"/>
      <c r="G49" s="320"/>
      <c r="H49" s="569" t="s">
        <v>104</v>
      </c>
      <c r="I49" s="573"/>
      <c r="J49" s="573"/>
      <c r="K49" s="570"/>
      <c r="L49" s="307"/>
      <c r="M49" s="308"/>
      <c r="N49" s="489" t="s">
        <v>236</v>
      </c>
    </row>
    <row r="50" spans="1:16" ht="24" customHeight="1" x14ac:dyDescent="0.35">
      <c r="A50" s="389" t="s">
        <v>155</v>
      </c>
      <c r="B50" s="352"/>
      <c r="C50" s="320"/>
      <c r="D50" s="320"/>
      <c r="E50" s="320"/>
      <c r="F50" s="320"/>
      <c r="G50" s="320"/>
      <c r="H50" s="569" t="s">
        <v>105</v>
      </c>
      <c r="I50" s="573"/>
      <c r="J50" s="573"/>
      <c r="K50" s="570"/>
      <c r="L50" s="307"/>
      <c r="M50" s="308"/>
    </row>
    <row r="51" spans="1:16" ht="24" customHeight="1" x14ac:dyDescent="0.35">
      <c r="A51" s="309"/>
      <c r="B51" s="352"/>
      <c r="C51" s="320"/>
      <c r="D51" s="320"/>
      <c r="E51" s="320"/>
      <c r="F51" s="320"/>
      <c r="G51" s="320"/>
      <c r="H51" s="341"/>
      <c r="I51" s="342" t="s">
        <v>113</v>
      </c>
      <c r="J51" s="343" t="s">
        <v>11</v>
      </c>
      <c r="K51" s="570" t="s">
        <v>51</v>
      </c>
      <c r="L51" s="307"/>
      <c r="M51" s="308"/>
    </row>
    <row r="52" spans="1:16" ht="24" customHeight="1" x14ac:dyDescent="0.35">
      <c r="A52" s="325"/>
      <c r="B52" s="359"/>
      <c r="C52" s="310"/>
      <c r="D52" s="310"/>
      <c r="E52" s="310"/>
      <c r="F52" s="310"/>
      <c r="G52" s="415"/>
      <c r="H52" s="891" t="s">
        <v>211</v>
      </c>
      <c r="I52" s="892"/>
      <c r="J52" s="892"/>
      <c r="K52" s="893"/>
      <c r="L52" s="326"/>
      <c r="M52" s="299"/>
    </row>
    <row r="53" spans="1:16" ht="24" customHeight="1" x14ac:dyDescent="0.35">
      <c r="A53" s="302" t="s">
        <v>106</v>
      </c>
      <c r="B53" s="407">
        <v>4</v>
      </c>
      <c r="C53" s="346" t="s">
        <v>29</v>
      </c>
      <c r="D53" s="346" t="s">
        <v>30</v>
      </c>
      <c r="E53" s="346" t="s">
        <v>31</v>
      </c>
      <c r="F53" s="346" t="s">
        <v>32</v>
      </c>
      <c r="G53" s="346" t="s">
        <v>33</v>
      </c>
      <c r="H53" s="574" t="s">
        <v>108</v>
      </c>
      <c r="I53" s="571"/>
      <c r="J53" s="571"/>
      <c r="K53" s="572"/>
      <c r="L53" s="304">
        <v>2</v>
      </c>
      <c r="M53" s="305">
        <f>IF(L53=0,"-",ROUND(L53*B53/B$80,4))</f>
        <v>0.1111</v>
      </c>
    </row>
    <row r="54" spans="1:16" ht="24" customHeight="1" x14ac:dyDescent="0.35">
      <c r="A54" s="309" t="s">
        <v>107</v>
      </c>
      <c r="B54" s="352"/>
      <c r="C54" s="348">
        <v>1.5</v>
      </c>
      <c r="D54" s="348">
        <v>2</v>
      </c>
      <c r="E54" s="348">
        <v>2.5</v>
      </c>
      <c r="F54" s="348">
        <v>3</v>
      </c>
      <c r="G54" s="348">
        <v>5</v>
      </c>
      <c r="H54" s="569" t="s">
        <v>146</v>
      </c>
      <c r="I54" s="573"/>
      <c r="J54" s="573"/>
      <c r="K54" s="570"/>
      <c r="L54" s="307"/>
      <c r="M54" s="308"/>
      <c r="N54" s="489" t="s">
        <v>236</v>
      </c>
    </row>
    <row r="55" spans="1:16" ht="24" customHeight="1" x14ac:dyDescent="0.35">
      <c r="A55" s="309"/>
      <c r="B55" s="352"/>
      <c r="C55" s="344"/>
      <c r="D55" s="344"/>
      <c r="E55" s="344"/>
      <c r="F55" s="344"/>
      <c r="G55" s="344"/>
      <c r="H55" s="569" t="s">
        <v>110</v>
      </c>
      <c r="I55" s="573"/>
      <c r="J55" s="573"/>
      <c r="K55" s="570"/>
      <c r="L55" s="307"/>
      <c r="M55" s="308"/>
    </row>
    <row r="56" spans="1:16" ht="23.25" x14ac:dyDescent="0.35">
      <c r="A56" s="309"/>
      <c r="B56" s="352"/>
      <c r="C56" s="344"/>
      <c r="D56" s="344"/>
      <c r="E56" s="344"/>
      <c r="F56" s="344"/>
      <c r="G56" s="344"/>
      <c r="H56" s="569" t="s">
        <v>191</v>
      </c>
      <c r="I56" s="573"/>
      <c r="J56" s="573"/>
      <c r="K56" s="570"/>
      <c r="L56" s="307"/>
      <c r="M56" s="308"/>
    </row>
    <row r="57" spans="1:16" ht="23.25" x14ac:dyDescent="0.35">
      <c r="A57" s="309"/>
      <c r="B57" s="352"/>
      <c r="C57" s="344"/>
      <c r="D57" s="344"/>
      <c r="E57" s="344"/>
      <c r="F57" s="344"/>
      <c r="G57" s="344"/>
      <c r="H57" s="569"/>
      <c r="I57" s="323" t="s">
        <v>112</v>
      </c>
      <c r="J57" s="324">
        <v>2</v>
      </c>
      <c r="K57" s="382"/>
      <c r="L57" s="307"/>
      <c r="M57" s="308"/>
    </row>
    <row r="58" spans="1:16" ht="23.25" x14ac:dyDescent="0.35">
      <c r="A58" s="325"/>
      <c r="B58" s="359"/>
      <c r="C58" s="310"/>
      <c r="D58" s="310"/>
      <c r="E58" s="310"/>
      <c r="F58" s="310"/>
      <c r="G58" s="310"/>
      <c r="H58" s="891"/>
      <c r="I58" s="892"/>
      <c r="J58" s="892"/>
      <c r="K58" s="893"/>
      <c r="L58" s="326"/>
      <c r="M58" s="299"/>
    </row>
    <row r="59" spans="1:16" ht="23.25" x14ac:dyDescent="0.35">
      <c r="A59" s="350" t="s">
        <v>132</v>
      </c>
      <c r="B59" s="407">
        <v>4</v>
      </c>
      <c r="C59" s="340">
        <v>0.1</v>
      </c>
      <c r="D59" s="340">
        <v>0.3</v>
      </c>
      <c r="E59" s="340">
        <v>0.5</v>
      </c>
      <c r="F59" s="340">
        <v>0.7</v>
      </c>
      <c r="G59" s="340">
        <v>1</v>
      </c>
      <c r="H59" s="574" t="s">
        <v>123</v>
      </c>
      <c r="I59" s="571"/>
      <c r="J59" s="571"/>
      <c r="K59" s="572"/>
      <c r="L59" s="304">
        <f>4+P60</f>
        <v>5</v>
      </c>
      <c r="M59" s="305">
        <f>IF(L59=0,"-",ROUND(L59*B59/B$80,4))</f>
        <v>0.27779999999999999</v>
      </c>
      <c r="N59" s="595" t="s">
        <v>202</v>
      </c>
      <c r="O59" s="292">
        <v>30</v>
      </c>
      <c r="P59" s="292">
        <v>1</v>
      </c>
    </row>
    <row r="60" spans="1:16" ht="23.25" x14ac:dyDescent="0.35">
      <c r="A60" s="351" t="s">
        <v>192</v>
      </c>
      <c r="B60" s="352"/>
      <c r="C60" s="320"/>
      <c r="D60" s="320"/>
      <c r="E60" s="320"/>
      <c r="F60" s="320"/>
      <c r="G60" s="311"/>
      <c r="H60" s="569" t="s">
        <v>124</v>
      </c>
      <c r="I60" s="322"/>
      <c r="J60" s="353"/>
      <c r="K60" s="354"/>
      <c r="L60" s="355"/>
      <c r="M60" s="308"/>
      <c r="N60" s="489" t="s">
        <v>236</v>
      </c>
      <c r="O60" s="542">
        <f>J64-70</f>
        <v>30</v>
      </c>
      <c r="P60" s="292">
        <f>P59*O60/O59</f>
        <v>1</v>
      </c>
    </row>
    <row r="61" spans="1:16" ht="23.25" x14ac:dyDescent="0.35">
      <c r="A61" s="351"/>
      <c r="B61" s="352"/>
      <c r="C61" s="320"/>
      <c r="D61" s="320"/>
      <c r="E61" s="320"/>
      <c r="F61" s="320"/>
      <c r="G61" s="320"/>
      <c r="H61" s="573" t="s">
        <v>125</v>
      </c>
      <c r="I61" s="322"/>
      <c r="J61" s="353"/>
      <c r="K61" s="354"/>
      <c r="L61" s="355"/>
      <c r="M61" s="308"/>
    </row>
    <row r="62" spans="1:16" ht="23.25" x14ac:dyDescent="0.35">
      <c r="A62" s="351"/>
      <c r="B62" s="352"/>
      <c r="C62" s="320"/>
      <c r="D62" s="320"/>
      <c r="E62" s="320"/>
      <c r="F62" s="320"/>
      <c r="G62" s="320"/>
      <c r="H62" s="569" t="s">
        <v>126</v>
      </c>
      <c r="I62" s="322"/>
      <c r="J62" s="353"/>
      <c r="K62" s="354"/>
      <c r="L62" s="355"/>
      <c r="M62" s="308"/>
    </row>
    <row r="63" spans="1:16" ht="23.25" x14ac:dyDescent="0.35">
      <c r="A63" s="351"/>
      <c r="B63" s="352"/>
      <c r="C63" s="320"/>
      <c r="D63" s="320"/>
      <c r="E63" s="320"/>
      <c r="F63" s="320"/>
      <c r="G63" s="320"/>
      <c r="H63" s="569" t="s">
        <v>127</v>
      </c>
      <c r="I63" s="322"/>
      <c r="J63" s="353"/>
      <c r="K63" s="354"/>
      <c r="L63" s="355"/>
      <c r="M63" s="308"/>
    </row>
    <row r="64" spans="1:16" ht="23.25" x14ac:dyDescent="0.35">
      <c r="A64" s="351"/>
      <c r="B64" s="352"/>
      <c r="C64" s="320"/>
      <c r="D64" s="320"/>
      <c r="E64" s="320"/>
      <c r="F64" s="320"/>
      <c r="G64" s="320"/>
      <c r="H64" s="569"/>
      <c r="I64" s="323" t="s">
        <v>114</v>
      </c>
      <c r="J64" s="408">
        <f>สพญ.!S89</f>
        <v>100</v>
      </c>
      <c r="K64" s="382" t="s">
        <v>51</v>
      </c>
      <c r="L64" s="355"/>
      <c r="M64" s="308"/>
    </row>
    <row r="65" spans="1:14" ht="23.25" x14ac:dyDescent="0.35">
      <c r="A65" s="358"/>
      <c r="B65" s="359"/>
      <c r="C65" s="310"/>
      <c r="D65" s="310"/>
      <c r="E65" s="310"/>
      <c r="F65" s="310"/>
      <c r="G65" s="310"/>
      <c r="H65" s="330"/>
      <c r="I65" s="423"/>
      <c r="J65" s="423"/>
      <c r="K65" s="424"/>
      <c r="L65" s="360"/>
      <c r="M65" s="299"/>
    </row>
    <row r="66" spans="1:14" ht="23.25" x14ac:dyDescent="0.35">
      <c r="A66" s="302" t="s">
        <v>115</v>
      </c>
      <c r="B66" s="407">
        <v>4</v>
      </c>
      <c r="C66" s="361">
        <v>0.8</v>
      </c>
      <c r="D66" s="361">
        <v>0.85</v>
      </c>
      <c r="E66" s="361">
        <v>0.9</v>
      </c>
      <c r="F66" s="361">
        <v>0.95</v>
      </c>
      <c r="G66" s="361">
        <v>1</v>
      </c>
      <c r="H66" s="574" t="s">
        <v>157</v>
      </c>
      <c r="I66" s="571"/>
      <c r="J66" s="571"/>
      <c r="K66" s="572"/>
      <c r="L66" s="304">
        <v>5</v>
      </c>
      <c r="M66" s="305">
        <f>IF(L66=0,"-",ROUND(L66*B66/B$80,4))</f>
        <v>0.27779999999999999</v>
      </c>
      <c r="N66" s="425" t="s">
        <v>203</v>
      </c>
    </row>
    <row r="67" spans="1:14" ht="23.25" x14ac:dyDescent="0.35">
      <c r="A67" s="309" t="s">
        <v>116</v>
      </c>
      <c r="B67" s="352"/>
      <c r="C67" s="348"/>
      <c r="D67" s="348"/>
      <c r="E67" s="348"/>
      <c r="F67" s="348"/>
      <c r="G67" s="348"/>
      <c r="H67" s="569" t="s">
        <v>158</v>
      </c>
      <c r="I67" s="573"/>
      <c r="J67" s="573"/>
      <c r="K67" s="570"/>
      <c r="L67" s="362"/>
      <c r="M67" s="308"/>
      <c r="N67" s="489" t="s">
        <v>236</v>
      </c>
    </row>
    <row r="68" spans="1:14" ht="23.25" x14ac:dyDescent="0.35">
      <c r="A68" s="309" t="s">
        <v>193</v>
      </c>
      <c r="B68" s="352"/>
      <c r="C68" s="320"/>
      <c r="D68" s="320"/>
      <c r="E68" s="320"/>
      <c r="F68" s="320"/>
      <c r="G68" s="320"/>
      <c r="H68" s="569" t="s">
        <v>197</v>
      </c>
      <c r="I68" s="573"/>
      <c r="J68" s="573"/>
      <c r="K68" s="570"/>
      <c r="L68" s="362"/>
      <c r="M68" s="308"/>
    </row>
    <row r="69" spans="1:14" ht="23.25" x14ac:dyDescent="0.35">
      <c r="A69" s="309"/>
      <c r="B69" s="352"/>
      <c r="C69" s="320"/>
      <c r="D69" s="320"/>
      <c r="E69" s="320"/>
      <c r="F69" s="320"/>
      <c r="G69" s="320"/>
      <c r="H69" s="569" t="s">
        <v>120</v>
      </c>
      <c r="I69" s="573"/>
      <c r="J69" s="573"/>
      <c r="K69" s="570"/>
      <c r="L69" s="362"/>
      <c r="M69" s="308"/>
    </row>
    <row r="70" spans="1:14" ht="23.25" x14ac:dyDescent="0.35">
      <c r="A70" s="309"/>
      <c r="B70" s="352"/>
      <c r="C70" s="320"/>
      <c r="D70" s="320"/>
      <c r="E70" s="320"/>
      <c r="F70" s="320"/>
      <c r="G70" s="320"/>
      <c r="H70" s="569" t="s">
        <v>194</v>
      </c>
      <c r="I70" s="573"/>
      <c r="J70" s="573"/>
      <c r="K70" s="570"/>
      <c r="L70" s="362"/>
      <c r="M70" s="308"/>
    </row>
    <row r="71" spans="1:14" ht="23.25" x14ac:dyDescent="0.35">
      <c r="A71" s="309"/>
      <c r="B71" s="352"/>
      <c r="C71" s="320"/>
      <c r="D71" s="320"/>
      <c r="E71" s="320"/>
      <c r="F71" s="320"/>
      <c r="G71" s="344"/>
      <c r="H71" s="569" t="s">
        <v>195</v>
      </c>
      <c r="I71" s="345"/>
      <c r="J71" s="408">
        <v>100</v>
      </c>
      <c r="K71" s="413" t="s">
        <v>51</v>
      </c>
      <c r="L71" s="412"/>
      <c r="M71" s="308"/>
    </row>
    <row r="72" spans="1:14" ht="23.25" x14ac:dyDescent="0.35">
      <c r="A72" s="358"/>
      <c r="B72" s="414"/>
      <c r="C72" s="411"/>
      <c r="D72" s="411"/>
      <c r="E72" s="411"/>
      <c r="F72" s="411"/>
      <c r="G72" s="329"/>
      <c r="H72" s="576"/>
      <c r="I72" s="582"/>
      <c r="J72" s="583"/>
      <c r="K72" s="584"/>
      <c r="L72" s="416"/>
      <c r="M72" s="308"/>
    </row>
    <row r="73" spans="1:14" ht="23.25" x14ac:dyDescent="0.35">
      <c r="A73" s="351" t="s">
        <v>324</v>
      </c>
      <c r="B73" s="585">
        <v>4</v>
      </c>
      <c r="C73" s="586">
        <v>0.4</v>
      </c>
      <c r="D73" s="586">
        <v>0.45</v>
      </c>
      <c r="E73" s="586">
        <v>0.5</v>
      </c>
      <c r="F73" s="586">
        <v>0.55000000000000004</v>
      </c>
      <c r="G73" s="586">
        <v>0.6</v>
      </c>
      <c r="H73" s="569" t="s">
        <v>325</v>
      </c>
      <c r="I73" s="345"/>
      <c r="J73" s="587"/>
      <c r="K73" s="588"/>
      <c r="L73" s="355">
        <v>3</v>
      </c>
      <c r="M73" s="305">
        <f>IF(L73=0,"-",ROUND(L73*B73/B$80,4))</f>
        <v>0.16669999999999999</v>
      </c>
      <c r="N73" s="601" t="s">
        <v>332</v>
      </c>
    </row>
    <row r="74" spans="1:14" ht="23.25" x14ac:dyDescent="0.35">
      <c r="A74" s="351" t="s">
        <v>326</v>
      </c>
      <c r="B74" s="406"/>
      <c r="C74" s="311"/>
      <c r="D74" s="311"/>
      <c r="E74" s="311"/>
      <c r="F74" s="311"/>
      <c r="G74" s="333"/>
      <c r="H74" s="569" t="s">
        <v>327</v>
      </c>
      <c r="I74" s="345"/>
      <c r="J74" s="587"/>
      <c r="K74" s="588"/>
      <c r="L74" s="412"/>
      <c r="M74" s="308"/>
      <c r="N74" s="489" t="s">
        <v>236</v>
      </c>
    </row>
    <row r="75" spans="1:14" ht="23.25" x14ac:dyDescent="0.35">
      <c r="A75" s="351"/>
      <c r="B75" s="406"/>
      <c r="C75" s="311"/>
      <c r="D75" s="311"/>
      <c r="E75" s="311"/>
      <c r="F75" s="311"/>
      <c r="G75" s="333"/>
      <c r="H75" s="569"/>
      <c r="I75" s="345"/>
      <c r="J75" s="587"/>
      <c r="K75" s="588"/>
      <c r="L75" s="412"/>
      <c r="M75" s="308"/>
    </row>
    <row r="76" spans="1:14" ht="23.25" x14ac:dyDescent="0.35">
      <c r="A76" s="351"/>
      <c r="B76" s="406"/>
      <c r="C76" s="311"/>
      <c r="D76" s="311"/>
      <c r="E76" s="311"/>
      <c r="F76" s="311"/>
      <c r="G76" s="333"/>
      <c r="H76" s="569"/>
      <c r="I76" s="345" t="s">
        <v>174</v>
      </c>
      <c r="J76" s="589">
        <v>50</v>
      </c>
      <c r="K76" s="413" t="s">
        <v>51</v>
      </c>
      <c r="L76" s="412"/>
      <c r="M76" s="308"/>
    </row>
    <row r="77" spans="1:14" ht="23.25" x14ac:dyDescent="0.35">
      <c r="A77" s="351"/>
      <c r="B77" s="406"/>
      <c r="C77" s="311"/>
      <c r="D77" s="311"/>
      <c r="E77" s="311"/>
      <c r="F77" s="311"/>
      <c r="G77" s="333"/>
      <c r="H77" s="569"/>
      <c r="I77" s="345"/>
      <c r="J77" s="587"/>
      <c r="K77" s="588"/>
      <c r="L77" s="412"/>
      <c r="M77" s="308"/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69"/>
      <c r="I78" s="345"/>
      <c r="J78" s="587"/>
      <c r="K78" s="588"/>
      <c r="L78" s="412"/>
      <c r="M78" s="308"/>
    </row>
    <row r="79" spans="1:14" ht="23.25" x14ac:dyDescent="0.35">
      <c r="A79" s="358"/>
      <c r="B79" s="414"/>
      <c r="C79" s="411"/>
      <c r="D79" s="411"/>
      <c r="E79" s="411"/>
      <c r="F79" s="411"/>
      <c r="G79" s="415"/>
      <c r="H79" s="576"/>
      <c r="I79" s="345"/>
      <c r="J79" s="587"/>
      <c r="K79" s="584"/>
      <c r="L79" s="412"/>
      <c r="M79" s="308"/>
    </row>
    <row r="80" spans="1:14" ht="26.25" x14ac:dyDescent="0.4">
      <c r="A80" s="363"/>
      <c r="B80" s="409">
        <f>ROUND(SUM(B6:B79),1)</f>
        <v>72</v>
      </c>
      <c r="C80" s="364"/>
      <c r="D80" s="364"/>
      <c r="E80" s="364"/>
      <c r="F80" s="364"/>
      <c r="G80" s="365"/>
      <c r="H80" s="364"/>
      <c r="I80" s="364"/>
      <c r="J80" s="364"/>
      <c r="K80" s="364"/>
      <c r="L80" s="366" t="s">
        <v>139</v>
      </c>
      <c r="M80" s="410">
        <f>(SUM(M6:M79))</f>
        <v>2.9174000000000007</v>
      </c>
    </row>
  </sheetData>
  <mergeCells count="22">
    <mergeCell ref="H25:K25"/>
    <mergeCell ref="H52:K52"/>
    <mergeCell ref="H58:K58"/>
    <mergeCell ref="H15:K15"/>
    <mergeCell ref="H16:K16"/>
    <mergeCell ref="H18:K18"/>
    <mergeCell ref="H19:K19"/>
    <mergeCell ref="H20:K20"/>
    <mergeCell ref="H21:K21"/>
    <mergeCell ref="H14:K14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I11"/>
    <mergeCell ref="H12:K12"/>
    <mergeCell ref="H13:K13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4" max="12" man="1"/>
    <brk id="52" max="12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1" width="9.140625" style="292"/>
    <col min="22" max="23" width="9.85546875" style="292" bestFit="1" customWidth="1"/>
    <col min="24" max="24" width="13.85546875" style="292" bestFit="1" customWidth="1"/>
    <col min="25" max="26" width="9.140625" style="292"/>
    <col min="27" max="27" width="11" style="292" bestFit="1" customWidth="1"/>
    <col min="28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389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IF(L6=0,"-",ROUND(L6*B6/B$77,4))</f>
        <v>0.3201</v>
      </c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 t="s">
        <v>236</v>
      </c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8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28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  <c r="O10" s="441"/>
    </row>
    <row r="11" spans="1:28" ht="24" customHeight="1" x14ac:dyDescent="0.35">
      <c r="A11" s="309"/>
      <c r="B11" s="606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</row>
    <row r="12" spans="1:28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X12" s="568" t="s">
        <v>320</v>
      </c>
      <c r="Y12" s="568" t="s">
        <v>238</v>
      </c>
      <c r="AA12" s="441"/>
      <c r="AB12" s="441"/>
    </row>
    <row r="13" spans="1:28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2+O17</f>
        <v>2.9871792380149147</v>
      </c>
      <c r="M13" s="305">
        <f>IF(L13=0,"-",ROUND(L13*B13/B$77,4))</f>
        <v>0.59740000000000004</v>
      </c>
      <c r="N13" s="425" t="s">
        <v>199</v>
      </c>
      <c r="O13" s="607" t="s">
        <v>335</v>
      </c>
      <c r="P13" s="607"/>
      <c r="Q13" s="607"/>
      <c r="R13" s="607"/>
      <c r="S13" s="607"/>
      <c r="T13" s="607"/>
      <c r="U13" s="607"/>
      <c r="V13" s="607"/>
      <c r="W13" s="607"/>
      <c r="X13" s="453">
        <f>สพญ.!R7</f>
        <v>10720300</v>
      </c>
      <c r="Y13" s="771">
        <f>สพญ.!S7</f>
        <v>98.403999999999996</v>
      </c>
      <c r="AA13" s="622"/>
      <c r="AB13" s="613"/>
    </row>
    <row r="14" spans="1:28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89" t="s">
        <v>213</v>
      </c>
      <c r="O14" s="432" t="s">
        <v>501</v>
      </c>
      <c r="P14" s="432"/>
      <c r="Q14" s="432"/>
      <c r="R14" s="432"/>
      <c r="S14" s="432"/>
      <c r="T14" s="432"/>
      <c r="U14" s="450"/>
      <c r="V14" s="451"/>
      <c r="W14" s="452"/>
      <c r="X14" s="609">
        <f>สพญ.!R9</f>
        <v>12075000</v>
      </c>
      <c r="Y14" s="771">
        <f>สพญ.!S9</f>
        <v>0</v>
      </c>
      <c r="Z14" s="481"/>
      <c r="AA14" s="622"/>
      <c r="AB14" s="613"/>
    </row>
    <row r="15" spans="1:28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O15" s="432" t="s">
        <v>502</v>
      </c>
      <c r="P15" s="432"/>
      <c r="Q15" s="432"/>
      <c r="R15" s="432"/>
      <c r="S15" s="432"/>
      <c r="T15" s="432"/>
      <c r="U15" s="450"/>
      <c r="V15" s="451"/>
      <c r="W15" s="452"/>
      <c r="X15" s="609">
        <f>สพญ.!R8</f>
        <v>65182800</v>
      </c>
      <c r="Y15" s="771">
        <f>สพญ.!S8</f>
        <v>91.62</v>
      </c>
      <c r="Z15" s="719"/>
      <c r="AA15" s="622"/>
      <c r="AB15" s="613"/>
    </row>
    <row r="16" spans="1:28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292">
        <v>10</v>
      </c>
      <c r="O16" s="292">
        <v>1</v>
      </c>
      <c r="X16" s="453">
        <f>SUM(X13:X15)</f>
        <v>87978100</v>
      </c>
      <c r="Y16" s="432">
        <f>((X13*Y13)+(X14*Y14)+(X15*Y15))/X16</f>
        <v>79.871792380149145</v>
      </c>
      <c r="Z16" s="292" t="s">
        <v>51</v>
      </c>
    </row>
    <row r="17" spans="1:25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N17" s="540">
        <f>J18-70</f>
        <v>9.8717923801491452</v>
      </c>
      <c r="O17" s="292">
        <f>O16*N17/N16</f>
        <v>0.98717923801491447</v>
      </c>
    </row>
    <row r="18" spans="1:25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328">
        <f>Y16</f>
        <v>79.871792380149145</v>
      </c>
      <c r="K18" s="570" t="s">
        <v>51</v>
      </c>
      <c r="L18" s="307"/>
      <c r="M18" s="308"/>
    </row>
    <row r="19" spans="1:25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5" ht="24" customHeight="1" x14ac:dyDescent="0.3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894" t="s">
        <v>57</v>
      </c>
      <c r="I20" s="895"/>
      <c r="J20" s="895"/>
      <c r="K20" s="896"/>
      <c r="L20" s="304">
        <f>2+P21</f>
        <v>2.9864980571428572</v>
      </c>
      <c r="M20" s="305">
        <f>IF(L20=0,"-",ROUND(L20*B20/B$77,4))</f>
        <v>0.1991</v>
      </c>
      <c r="N20" s="425" t="s">
        <v>199</v>
      </c>
      <c r="O20" s="292">
        <v>25</v>
      </c>
      <c r="P20" s="292">
        <v>1</v>
      </c>
    </row>
    <row r="21" spans="1:25" ht="24" customHeight="1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69" t="s">
        <v>58</v>
      </c>
      <c r="I21" s="573"/>
      <c r="J21" s="573"/>
      <c r="K21" s="570"/>
      <c r="L21" s="307"/>
      <c r="M21" s="308"/>
      <c r="N21" s="489" t="s">
        <v>236</v>
      </c>
      <c r="O21" s="540">
        <f>J24-75</f>
        <v>24.66245142857143</v>
      </c>
      <c r="P21" s="292">
        <f>P20*O21/O20</f>
        <v>0.98649805714285721</v>
      </c>
      <c r="V21" s="568" t="s">
        <v>228</v>
      </c>
      <c r="W21" s="568" t="s">
        <v>330</v>
      </c>
      <c r="X21" s="568" t="s">
        <v>51</v>
      </c>
    </row>
    <row r="22" spans="1:25" ht="24" customHeight="1" x14ac:dyDescent="0.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69" t="s">
        <v>147</v>
      </c>
      <c r="I22" s="573"/>
      <c r="J22" s="573"/>
      <c r="K22" s="570"/>
      <c r="L22" s="307"/>
      <c r="M22" s="308"/>
      <c r="O22" s="458">
        <v>3</v>
      </c>
      <c r="P22" s="459" t="s">
        <v>336</v>
      </c>
      <c r="Q22" s="451"/>
      <c r="R22" s="451"/>
      <c r="S22" s="451"/>
      <c r="T22" s="451"/>
      <c r="U22" s="451"/>
      <c r="V22" s="460">
        <v>350000</v>
      </c>
      <c r="W22" s="776">
        <f>สพญ.!AB46</f>
        <v>348818.58</v>
      </c>
      <c r="X22" s="610">
        <f>W22*100/V22</f>
        <v>99.66245142857143</v>
      </c>
      <c r="Y22" s="292" t="s">
        <v>51</v>
      </c>
    </row>
    <row r="23" spans="1:25" ht="24" customHeight="1" x14ac:dyDescent="0.35">
      <c r="A23" s="309"/>
      <c r="B23" s="352"/>
      <c r="C23" s="320"/>
      <c r="D23" s="320"/>
      <c r="E23" s="320"/>
      <c r="F23" s="320"/>
      <c r="G23" s="320"/>
      <c r="H23" s="569" t="s">
        <v>180</v>
      </c>
      <c r="I23" s="573"/>
      <c r="J23" s="573"/>
      <c r="K23" s="570"/>
      <c r="L23" s="307"/>
      <c r="M23" s="308"/>
    </row>
    <row r="24" spans="1:25" ht="24" customHeight="1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605">
        <f>X22</f>
        <v>99.66245142857143</v>
      </c>
      <c r="K24" s="570" t="s">
        <v>51</v>
      </c>
      <c r="L24" s="307"/>
      <c r="M24" s="308"/>
    </row>
    <row r="25" spans="1:25" ht="24" customHeight="1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25" ht="24" customHeight="1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f>2+P27</f>
        <v>5</v>
      </c>
      <c r="M26" s="305">
        <f>IF(L26=0,"-",ROUND(L26*B26/B$77,4))</f>
        <v>0.33329999999999999</v>
      </c>
      <c r="N26" s="425" t="s">
        <v>201</v>
      </c>
      <c r="O26" s="292">
        <v>5</v>
      </c>
      <c r="P26" s="292">
        <v>1</v>
      </c>
    </row>
    <row r="27" spans="1:25" ht="24" customHeight="1" x14ac:dyDescent="0.35">
      <c r="A27" s="309" t="s">
        <v>28</v>
      </c>
      <c r="B27" s="352"/>
      <c r="C27" s="320"/>
      <c r="D27" s="320"/>
      <c r="E27" s="320"/>
      <c r="F27" s="320"/>
      <c r="G27" s="320"/>
      <c r="H27" s="569" t="s">
        <v>154</v>
      </c>
      <c r="I27" s="573"/>
      <c r="J27" s="573"/>
      <c r="K27" s="570"/>
      <c r="L27" s="307"/>
      <c r="M27" s="308"/>
      <c r="O27" s="633">
        <f>J32-85</f>
        <v>15</v>
      </c>
      <c r="P27" s="292">
        <f>P26*O27/O26</f>
        <v>3</v>
      </c>
    </row>
    <row r="28" spans="1:25" ht="24" customHeight="1" x14ac:dyDescent="0.35">
      <c r="A28" s="309" t="s">
        <v>60</v>
      </c>
      <c r="B28" s="352"/>
      <c r="C28" s="320"/>
      <c r="D28" s="320"/>
      <c r="E28" s="320"/>
      <c r="F28" s="320"/>
      <c r="G28" s="320"/>
      <c r="H28" s="569" t="s">
        <v>64</v>
      </c>
      <c r="I28" s="573"/>
      <c r="J28" s="573"/>
      <c r="K28" s="570"/>
      <c r="L28" s="307"/>
      <c r="M28" s="308"/>
    </row>
    <row r="29" spans="1:25" ht="24" customHeight="1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/>
      <c r="K29" s="382"/>
      <c r="L29" s="307"/>
      <c r="M29" s="308"/>
    </row>
    <row r="30" spans="1:25" ht="24" customHeight="1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f>สพญ.!P57</f>
        <v>8</v>
      </c>
      <c r="K30" s="382" t="s">
        <v>61</v>
      </c>
      <c r="L30" s="307"/>
      <c r="M30" s="308"/>
    </row>
    <row r="31" spans="1:25" ht="24" customHeight="1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f>สพญ.!Q57</f>
        <v>8</v>
      </c>
      <c r="K31" s="382" t="s">
        <v>61</v>
      </c>
      <c r="L31" s="307"/>
      <c r="M31" s="308"/>
    </row>
    <row r="32" spans="1:25" ht="24" customHeight="1" x14ac:dyDescent="0.35">
      <c r="A32" s="309"/>
      <c r="B32" s="352"/>
      <c r="C32" s="320"/>
      <c r="D32" s="320"/>
      <c r="E32" s="320"/>
      <c r="F32" s="320"/>
      <c r="G32" s="320"/>
      <c r="H32" s="569"/>
      <c r="I32" s="323" t="s">
        <v>81</v>
      </c>
      <c r="J32" s="516">
        <f>J31*100/J30</f>
        <v>100</v>
      </c>
      <c r="K32" s="570" t="s">
        <v>51</v>
      </c>
      <c r="L32" s="307"/>
      <c r="M32" s="308"/>
    </row>
    <row r="33" spans="1:32" ht="24" customHeight="1" x14ac:dyDescent="0.35">
      <c r="A33" s="325"/>
      <c r="B33" s="359"/>
      <c r="C33" s="310"/>
      <c r="D33" s="310"/>
      <c r="E33" s="310"/>
      <c r="F33" s="310"/>
      <c r="G33" s="310"/>
      <c r="H33" s="565"/>
      <c r="I33" s="423"/>
      <c r="J33" s="423"/>
      <c r="K33" s="424"/>
      <c r="L33" s="326"/>
      <c r="M33" s="299"/>
    </row>
    <row r="34" spans="1:32" ht="24" customHeight="1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4" t="s">
        <v>152</v>
      </c>
      <c r="I34" s="571"/>
      <c r="J34" s="571"/>
      <c r="K34" s="572"/>
      <c r="L34" s="304">
        <v>5</v>
      </c>
      <c r="M34" s="305">
        <f>IF(L34=0,"-",ROUND(L34*B34/B$77,4))</f>
        <v>0.33329999999999999</v>
      </c>
      <c r="N34" s="425" t="s">
        <v>332</v>
      </c>
    </row>
    <row r="35" spans="1:32" ht="24" customHeight="1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3" t="s">
        <v>153</v>
      </c>
      <c r="I35" s="573"/>
      <c r="J35" s="573"/>
      <c r="K35" s="570"/>
      <c r="L35" s="307"/>
      <c r="M35" s="308"/>
      <c r="N35" s="489" t="s">
        <v>236</v>
      </c>
    </row>
    <row r="36" spans="1:32" ht="24" customHeight="1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3" t="s">
        <v>180</v>
      </c>
      <c r="I36" s="573"/>
      <c r="J36" s="573"/>
      <c r="K36" s="570"/>
      <c r="L36" s="307"/>
      <c r="M36" s="308"/>
    </row>
    <row r="37" spans="1:32" ht="24" customHeight="1" x14ac:dyDescent="0.35">
      <c r="A37" s="309"/>
      <c r="B37" s="406"/>
      <c r="C37" s="336"/>
      <c r="D37" s="336"/>
      <c r="E37" s="336"/>
      <c r="F37" s="336"/>
      <c r="G37" s="390"/>
      <c r="H37" s="569"/>
      <c r="I37" s="323" t="s">
        <v>56</v>
      </c>
      <c r="J37" s="324">
        <v>100</v>
      </c>
      <c r="K37" s="570" t="s">
        <v>51</v>
      </c>
      <c r="L37" s="307"/>
      <c r="M37" s="308"/>
      <c r="R37" s="349"/>
    </row>
    <row r="38" spans="1:32" ht="24" customHeight="1" x14ac:dyDescent="0.35">
      <c r="A38" s="325"/>
      <c r="B38" s="359"/>
      <c r="C38" s="310"/>
      <c r="D38" s="310"/>
      <c r="E38" s="310"/>
      <c r="F38" s="310"/>
      <c r="G38" s="310"/>
      <c r="H38" s="565"/>
      <c r="I38" s="566"/>
      <c r="J38" s="566"/>
      <c r="K38" s="567"/>
      <c r="L38" s="326"/>
      <c r="M38" s="299"/>
    </row>
    <row r="39" spans="1:32" ht="24" customHeight="1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4" t="s">
        <v>186</v>
      </c>
      <c r="I39" s="571"/>
      <c r="J39" s="571"/>
      <c r="K39" s="572"/>
      <c r="L39" s="304">
        <f>3+P40</f>
        <v>3.402556698995582</v>
      </c>
      <c r="M39" s="305">
        <f>IF(L39=0,"-",ROUND(L39*B39/B$77,4))</f>
        <v>0.68049999999999999</v>
      </c>
      <c r="N39" s="425" t="s">
        <v>199</v>
      </c>
      <c r="O39" s="298">
        <v>3</v>
      </c>
      <c r="P39" s="298">
        <v>1</v>
      </c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</row>
    <row r="40" spans="1:32" ht="24" customHeight="1" x14ac:dyDescent="0.35">
      <c r="A40" s="309" t="s">
        <v>85</v>
      </c>
      <c r="B40" s="352"/>
      <c r="C40" s="320"/>
      <c r="D40" s="320"/>
      <c r="E40" s="320"/>
      <c r="F40" s="320"/>
      <c r="G40" s="320"/>
      <c r="H40" s="569" t="s">
        <v>196</v>
      </c>
      <c r="I40" s="573"/>
      <c r="J40" s="573"/>
      <c r="K40" s="570"/>
      <c r="L40" s="307"/>
      <c r="M40" s="308"/>
      <c r="N40" s="489" t="s">
        <v>236</v>
      </c>
      <c r="O40" s="357">
        <f>J43-84</f>
        <v>1.207670096986746</v>
      </c>
      <c r="P40" s="356">
        <f>P39*O40/O39</f>
        <v>0.402556698995582</v>
      </c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</row>
    <row r="41" spans="1:32" ht="24" customHeight="1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135070000</v>
      </c>
      <c r="K41" s="570" t="s">
        <v>187</v>
      </c>
      <c r="L41" s="307"/>
      <c r="M41" s="308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D41" s="356"/>
      <c r="AE41" s="356"/>
      <c r="AF41" s="356"/>
    </row>
    <row r="42" spans="1:32" ht="24" customHeight="1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115090000</v>
      </c>
      <c r="K42" s="570" t="s">
        <v>187</v>
      </c>
      <c r="L42" s="307"/>
      <c r="M42" s="308"/>
      <c r="O42" s="356"/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/>
      <c r="AB42" s="356"/>
      <c r="AC42" s="356"/>
      <c r="AD42" s="356"/>
      <c r="AE42" s="356"/>
      <c r="AF42" s="356"/>
    </row>
    <row r="43" spans="1:32" ht="24" customHeight="1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85.207670096986746</v>
      </c>
      <c r="K43" s="570" t="s">
        <v>51</v>
      </c>
      <c r="L43" s="307"/>
      <c r="M43" s="308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</row>
    <row r="44" spans="1:32" ht="24" customHeight="1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  <c r="O44" s="356"/>
      <c r="P44" s="356"/>
      <c r="Q44" s="356"/>
      <c r="R44" s="356"/>
      <c r="S44" s="356"/>
      <c r="T44" s="356"/>
      <c r="U44" s="356"/>
      <c r="V44" s="357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</row>
    <row r="45" spans="1:32" ht="24" customHeight="1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4" t="s">
        <v>156</v>
      </c>
      <c r="I45" s="571"/>
      <c r="J45" s="571"/>
      <c r="K45" s="572"/>
      <c r="L45" s="304">
        <v>1</v>
      </c>
      <c r="M45" s="305">
        <f>IF(L45=0,"-",ROUND(L45*B45/B$77,4))</f>
        <v>6.6699999999999995E-2</v>
      </c>
      <c r="N45" s="425" t="s">
        <v>337</v>
      </c>
      <c r="O45" s="356"/>
      <c r="P45" s="356"/>
      <c r="Q45" s="356"/>
      <c r="R45" s="356"/>
      <c r="S45" s="356"/>
      <c r="T45" s="356"/>
      <c r="U45" s="356"/>
      <c r="V45" s="357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</row>
    <row r="46" spans="1:32" ht="24" customHeight="1" x14ac:dyDescent="0.35">
      <c r="A46" s="309" t="s">
        <v>145</v>
      </c>
      <c r="B46" s="352"/>
      <c r="C46" s="320"/>
      <c r="D46" s="320"/>
      <c r="E46" s="320"/>
      <c r="F46" s="320"/>
      <c r="G46" s="320"/>
      <c r="H46" s="569" t="s">
        <v>104</v>
      </c>
      <c r="I46" s="573"/>
      <c r="J46" s="573"/>
      <c r="K46" s="570"/>
      <c r="L46" s="307"/>
      <c r="M46" s="308"/>
      <c r="N46" s="481" t="s">
        <v>236</v>
      </c>
    </row>
    <row r="47" spans="1:32" ht="24" customHeight="1" x14ac:dyDescent="0.35">
      <c r="A47" s="389" t="s">
        <v>155</v>
      </c>
      <c r="B47" s="352"/>
      <c r="C47" s="320"/>
      <c r="D47" s="320"/>
      <c r="E47" s="320"/>
      <c r="F47" s="320"/>
      <c r="G47" s="320"/>
      <c r="H47" s="569" t="s">
        <v>105</v>
      </c>
      <c r="I47" s="573"/>
      <c r="J47" s="573"/>
      <c r="K47" s="570"/>
      <c r="L47" s="307"/>
      <c r="M47" s="308"/>
    </row>
    <row r="48" spans="1:32" ht="24" customHeight="1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0" t="s">
        <v>51</v>
      </c>
      <c r="L48" s="307"/>
      <c r="M48" s="308"/>
    </row>
    <row r="49" spans="1:15" ht="24" customHeight="1" x14ac:dyDescent="0.35">
      <c r="A49" s="325"/>
      <c r="B49" s="359"/>
      <c r="C49" s="310"/>
      <c r="D49" s="310"/>
      <c r="E49" s="310"/>
      <c r="F49" s="310"/>
      <c r="G49" s="415"/>
      <c r="H49" s="891" t="s">
        <v>211</v>
      </c>
      <c r="I49" s="892"/>
      <c r="J49" s="892"/>
      <c r="K49" s="893"/>
      <c r="L49" s="326"/>
      <c r="M49" s="299"/>
    </row>
    <row r="50" spans="1:15" ht="24" customHeight="1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4" t="s">
        <v>108</v>
      </c>
      <c r="I50" s="571"/>
      <c r="J50" s="571"/>
      <c r="K50" s="572"/>
      <c r="L50" s="304">
        <v>2</v>
      </c>
      <c r="M50" s="305">
        <f>IF(L50=0,"-",ROUND(L50*B50/B$77,4))</f>
        <v>0.1333</v>
      </c>
      <c r="N50" s="425" t="s">
        <v>332</v>
      </c>
    </row>
    <row r="51" spans="1:15" ht="24" customHeight="1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69" t="s">
        <v>146</v>
      </c>
      <c r="I51" s="573"/>
      <c r="J51" s="573"/>
      <c r="K51" s="570"/>
      <c r="L51" s="307"/>
      <c r="M51" s="308"/>
      <c r="N51" s="481" t="s">
        <v>236</v>
      </c>
    </row>
    <row r="52" spans="1:15" ht="24" customHeight="1" x14ac:dyDescent="0.35">
      <c r="A52" s="309"/>
      <c r="B52" s="352"/>
      <c r="C52" s="344"/>
      <c r="D52" s="344"/>
      <c r="E52" s="344"/>
      <c r="F52" s="344"/>
      <c r="G52" s="344"/>
      <c r="H52" s="569" t="s">
        <v>110</v>
      </c>
      <c r="I52" s="573"/>
      <c r="J52" s="573"/>
      <c r="K52" s="570"/>
      <c r="L52" s="307"/>
      <c r="M52" s="308"/>
    </row>
    <row r="53" spans="1:15" ht="23.25" x14ac:dyDescent="0.35">
      <c r="A53" s="309"/>
      <c r="B53" s="352"/>
      <c r="C53" s="344"/>
      <c r="D53" s="344"/>
      <c r="E53" s="344"/>
      <c r="F53" s="344"/>
      <c r="G53" s="344"/>
      <c r="H53" s="569" t="s">
        <v>191</v>
      </c>
      <c r="I53" s="573"/>
      <c r="J53" s="573"/>
      <c r="K53" s="570"/>
      <c r="L53" s="307"/>
      <c r="M53" s="308"/>
    </row>
    <row r="54" spans="1:15" ht="23.25" x14ac:dyDescent="0.35">
      <c r="A54" s="309"/>
      <c r="B54" s="352"/>
      <c r="C54" s="344"/>
      <c r="D54" s="344"/>
      <c r="E54" s="344"/>
      <c r="F54" s="344"/>
      <c r="G54" s="344"/>
      <c r="H54" s="569"/>
      <c r="I54" s="323" t="s">
        <v>112</v>
      </c>
      <c r="J54" s="324">
        <v>2</v>
      </c>
      <c r="K54" s="382"/>
      <c r="L54" s="307"/>
      <c r="M54" s="308"/>
    </row>
    <row r="55" spans="1:15" ht="23.25" x14ac:dyDescent="0.35">
      <c r="A55" s="325"/>
      <c r="B55" s="359"/>
      <c r="C55" s="310"/>
      <c r="D55" s="310"/>
      <c r="E55" s="310"/>
      <c r="F55" s="310"/>
      <c r="G55" s="310"/>
      <c r="H55" s="891"/>
      <c r="I55" s="892"/>
      <c r="J55" s="892"/>
      <c r="K55" s="893"/>
      <c r="L55" s="326"/>
      <c r="M55" s="299"/>
    </row>
    <row r="56" spans="1:15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4" t="s">
        <v>123</v>
      </c>
      <c r="I56" s="571"/>
      <c r="J56" s="571"/>
      <c r="K56" s="572"/>
      <c r="L56" s="304">
        <f>4+O57</f>
        <v>4.7</v>
      </c>
      <c r="M56" s="305">
        <f>IF(L56=0,"-",ROUND(L56*B56/B$77,4))</f>
        <v>0.31330000000000002</v>
      </c>
      <c r="N56" s="292">
        <v>30</v>
      </c>
      <c r="O56" s="292">
        <v>1</v>
      </c>
    </row>
    <row r="57" spans="1:15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69" t="s">
        <v>124</v>
      </c>
      <c r="I57" s="322"/>
      <c r="J57" s="353"/>
      <c r="K57" s="354"/>
      <c r="L57" s="355"/>
      <c r="M57" s="308"/>
      <c r="N57" s="540">
        <f>J61-70</f>
        <v>21</v>
      </c>
      <c r="O57" s="292">
        <f>O56*N57/N56</f>
        <v>0.7</v>
      </c>
    </row>
    <row r="58" spans="1:15" ht="23.25" x14ac:dyDescent="0.35">
      <c r="A58" s="351"/>
      <c r="B58" s="352"/>
      <c r="C58" s="320"/>
      <c r="D58" s="320"/>
      <c r="E58" s="320"/>
      <c r="F58" s="320"/>
      <c r="G58" s="320"/>
      <c r="H58" s="573" t="s">
        <v>125</v>
      </c>
      <c r="I58" s="322"/>
      <c r="J58" s="353"/>
      <c r="K58" s="354"/>
      <c r="L58" s="355"/>
      <c r="M58" s="308"/>
      <c r="N58" s="595" t="s">
        <v>202</v>
      </c>
    </row>
    <row r="59" spans="1:15" ht="23.25" x14ac:dyDescent="0.35">
      <c r="A59" s="351"/>
      <c r="B59" s="352"/>
      <c r="C59" s="320"/>
      <c r="D59" s="320"/>
      <c r="E59" s="320"/>
      <c r="F59" s="320"/>
      <c r="G59" s="320"/>
      <c r="H59" s="569" t="s">
        <v>126</v>
      </c>
      <c r="I59" s="322"/>
      <c r="J59" s="353"/>
      <c r="K59" s="354"/>
      <c r="L59" s="355"/>
      <c r="M59" s="308"/>
      <c r="N59" s="481" t="s">
        <v>236</v>
      </c>
    </row>
    <row r="60" spans="1:15" ht="23.25" x14ac:dyDescent="0.35">
      <c r="A60" s="351"/>
      <c r="B60" s="352"/>
      <c r="C60" s="320"/>
      <c r="D60" s="320"/>
      <c r="E60" s="320"/>
      <c r="F60" s="320"/>
      <c r="G60" s="320"/>
      <c r="H60" s="569" t="s">
        <v>127</v>
      </c>
      <c r="I60" s="322"/>
      <c r="J60" s="353"/>
      <c r="K60" s="354"/>
      <c r="L60" s="355"/>
      <c r="M60" s="308"/>
    </row>
    <row r="61" spans="1:15" ht="23.25" x14ac:dyDescent="0.35">
      <c r="A61" s="351"/>
      <c r="B61" s="352"/>
      <c r="C61" s="320"/>
      <c r="D61" s="320"/>
      <c r="E61" s="320"/>
      <c r="F61" s="320"/>
      <c r="G61" s="320"/>
      <c r="H61" s="569"/>
      <c r="I61" s="323" t="s">
        <v>114</v>
      </c>
      <c r="J61" s="408">
        <f>สพญ.!S90</f>
        <v>91</v>
      </c>
      <c r="K61" s="382" t="s">
        <v>51</v>
      </c>
      <c r="L61" s="355"/>
      <c r="M61" s="308"/>
    </row>
    <row r="62" spans="1:15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5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4" t="s">
        <v>157</v>
      </c>
      <c r="I63" s="571"/>
      <c r="J63" s="571"/>
      <c r="K63" s="572"/>
      <c r="L63" s="304">
        <v>5</v>
      </c>
      <c r="M63" s="305">
        <f>IF(L63=0,"-",ROUND(L63*B63/B$77,4))</f>
        <v>0.33329999999999999</v>
      </c>
      <c r="N63" s="425" t="s">
        <v>203</v>
      </c>
    </row>
    <row r="64" spans="1:15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69" t="s">
        <v>158</v>
      </c>
      <c r="I64" s="573"/>
      <c r="J64" s="573"/>
      <c r="K64" s="570"/>
      <c r="L64" s="362"/>
      <c r="M64" s="308"/>
      <c r="N64" s="481" t="s">
        <v>236</v>
      </c>
    </row>
    <row r="65" spans="1:14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69" t="s">
        <v>197</v>
      </c>
      <c r="I65" s="573"/>
      <c r="J65" s="573"/>
      <c r="K65" s="570"/>
      <c r="L65" s="362"/>
      <c r="M65" s="308"/>
    </row>
    <row r="66" spans="1:14" ht="23.25" x14ac:dyDescent="0.35">
      <c r="A66" s="309"/>
      <c r="B66" s="352"/>
      <c r="C66" s="320"/>
      <c r="D66" s="320"/>
      <c r="E66" s="320"/>
      <c r="F66" s="320"/>
      <c r="G66" s="320"/>
      <c r="H66" s="569" t="s">
        <v>120</v>
      </c>
      <c r="I66" s="573"/>
      <c r="J66" s="573"/>
      <c r="K66" s="570"/>
      <c r="L66" s="362"/>
      <c r="M66" s="308"/>
    </row>
    <row r="67" spans="1:14" ht="23.25" x14ac:dyDescent="0.35">
      <c r="A67" s="309"/>
      <c r="B67" s="352"/>
      <c r="C67" s="320"/>
      <c r="D67" s="320"/>
      <c r="E67" s="320"/>
      <c r="F67" s="320"/>
      <c r="G67" s="320"/>
      <c r="H67" s="569" t="s">
        <v>194</v>
      </c>
      <c r="I67" s="573"/>
      <c r="J67" s="573"/>
      <c r="K67" s="570"/>
      <c r="L67" s="362"/>
      <c r="M67" s="308"/>
    </row>
    <row r="68" spans="1:14" ht="23.25" x14ac:dyDescent="0.35">
      <c r="A68" s="309"/>
      <c r="B68" s="352"/>
      <c r="C68" s="320"/>
      <c r="D68" s="320"/>
      <c r="E68" s="320"/>
      <c r="F68" s="320"/>
      <c r="G68" s="344"/>
      <c r="H68" s="569" t="s">
        <v>195</v>
      </c>
      <c r="I68" s="345"/>
      <c r="J68" s="408">
        <v>100</v>
      </c>
      <c r="K68" s="413" t="s">
        <v>51</v>
      </c>
      <c r="L68" s="412"/>
      <c r="M68" s="308"/>
    </row>
    <row r="69" spans="1:14" ht="23.25" x14ac:dyDescent="0.35">
      <c r="A69" s="358"/>
      <c r="B69" s="414"/>
      <c r="C69" s="411"/>
      <c r="D69" s="411"/>
      <c r="E69" s="411"/>
      <c r="F69" s="411"/>
      <c r="G69" s="329"/>
      <c r="H69" s="576"/>
      <c r="I69" s="582"/>
      <c r="J69" s="583"/>
      <c r="K69" s="584"/>
      <c r="L69" s="416"/>
      <c r="M69" s="308"/>
    </row>
    <row r="70" spans="1:14" ht="23.25" x14ac:dyDescent="0.35">
      <c r="A70" s="351" t="s">
        <v>324</v>
      </c>
      <c r="B70" s="585">
        <v>4</v>
      </c>
      <c r="C70" s="586">
        <v>0.4</v>
      </c>
      <c r="D70" s="586">
        <v>0.45</v>
      </c>
      <c r="E70" s="586">
        <v>0.5</v>
      </c>
      <c r="F70" s="586">
        <v>0.55000000000000004</v>
      </c>
      <c r="G70" s="586">
        <v>0.6</v>
      </c>
      <c r="H70" s="569" t="s">
        <v>325</v>
      </c>
      <c r="I70" s="345"/>
      <c r="J70" s="587"/>
      <c r="K70" s="588"/>
      <c r="L70" s="412">
        <v>3</v>
      </c>
      <c r="M70" s="305">
        <f>IF(L70=0,"-",ROUND(L70*B70/B$77,4))</f>
        <v>0.2</v>
      </c>
      <c r="N70" s="425" t="s">
        <v>332</v>
      </c>
    </row>
    <row r="71" spans="1:14" ht="23.25" x14ac:dyDescent="0.35">
      <c r="A71" s="351" t="s">
        <v>326</v>
      </c>
      <c r="B71" s="406"/>
      <c r="C71" s="311"/>
      <c r="D71" s="311"/>
      <c r="E71" s="311"/>
      <c r="F71" s="311"/>
      <c r="G71" s="333"/>
      <c r="H71" s="569" t="s">
        <v>327</v>
      </c>
      <c r="I71" s="345"/>
      <c r="J71" s="587"/>
      <c r="K71" s="588"/>
      <c r="L71" s="412"/>
      <c r="M71" s="308"/>
      <c r="N71" s="481" t="s">
        <v>236</v>
      </c>
    </row>
    <row r="72" spans="1:14" ht="23.25" x14ac:dyDescent="0.35">
      <c r="A72" s="351"/>
      <c r="B72" s="406"/>
      <c r="C72" s="311"/>
      <c r="D72" s="311"/>
      <c r="E72" s="311"/>
      <c r="F72" s="311"/>
      <c r="G72" s="333"/>
      <c r="H72" s="569"/>
      <c r="I72" s="345"/>
      <c r="J72" s="587"/>
      <c r="K72" s="588"/>
      <c r="L72" s="412"/>
      <c r="M72" s="308"/>
    </row>
    <row r="73" spans="1:14" ht="23.25" x14ac:dyDescent="0.35">
      <c r="A73" s="351"/>
      <c r="B73" s="406"/>
      <c r="C73" s="311"/>
      <c r="D73" s="311"/>
      <c r="E73" s="311"/>
      <c r="F73" s="311"/>
      <c r="G73" s="333"/>
      <c r="H73" s="569"/>
      <c r="I73" s="345" t="s">
        <v>174</v>
      </c>
      <c r="J73" s="589">
        <v>50</v>
      </c>
      <c r="K73" s="413" t="s">
        <v>51</v>
      </c>
      <c r="L73" s="412"/>
      <c r="M73" s="308"/>
    </row>
    <row r="74" spans="1:14" ht="23.25" x14ac:dyDescent="0.35">
      <c r="A74" s="351"/>
      <c r="B74" s="406"/>
      <c r="C74" s="311"/>
      <c r="D74" s="311"/>
      <c r="E74" s="311"/>
      <c r="F74" s="311"/>
      <c r="G74" s="333"/>
      <c r="H74" s="569"/>
      <c r="I74" s="345"/>
      <c r="J74" s="587"/>
      <c r="K74" s="588"/>
      <c r="L74" s="412"/>
      <c r="M74" s="308"/>
    </row>
    <row r="75" spans="1:14" ht="23.25" x14ac:dyDescent="0.35">
      <c r="A75" s="351"/>
      <c r="B75" s="406"/>
      <c r="C75" s="311"/>
      <c r="D75" s="311"/>
      <c r="E75" s="311"/>
      <c r="F75" s="311"/>
      <c r="G75" s="333"/>
      <c r="H75" s="569"/>
      <c r="I75" s="345"/>
      <c r="J75" s="587"/>
      <c r="K75" s="588"/>
      <c r="L75" s="412"/>
      <c r="M75" s="308"/>
    </row>
    <row r="76" spans="1:14" ht="23.25" x14ac:dyDescent="0.35">
      <c r="A76" s="358"/>
      <c r="B76" s="414"/>
      <c r="C76" s="411"/>
      <c r="D76" s="411"/>
      <c r="E76" s="411"/>
      <c r="F76" s="411"/>
      <c r="G76" s="415"/>
      <c r="H76" s="576"/>
      <c r="I76" s="345"/>
      <c r="J76" s="587"/>
      <c r="K76" s="584"/>
      <c r="L76" s="412"/>
      <c r="M76" s="308"/>
    </row>
    <row r="77" spans="1:14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3.5103</v>
      </c>
    </row>
  </sheetData>
  <mergeCells count="17">
    <mergeCell ref="H14:K14"/>
    <mergeCell ref="H15:K15"/>
    <mergeCell ref="H20:K20"/>
    <mergeCell ref="H49:K49"/>
    <mergeCell ref="H55:K55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16384" width="9.140625" style="292"/>
  </cols>
  <sheetData>
    <row r="1" spans="1:20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0" ht="24" customHeight="1" x14ac:dyDescent="0.4">
      <c r="A2" s="897" t="s">
        <v>388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425" t="s">
        <v>338</v>
      </c>
    </row>
    <row r="3" spans="1:20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0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0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20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IF(L6=0,"-",ROUND(L6*B6/B$77,4))</f>
        <v>0.3201</v>
      </c>
      <c r="N6" s="425" t="s">
        <v>213</v>
      </c>
    </row>
    <row r="7" spans="1:20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/>
    </row>
    <row r="8" spans="1:20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0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20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20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</row>
    <row r="12" spans="1:20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O12" s="441"/>
      <c r="P12" s="879" t="s">
        <v>320</v>
      </c>
      <c r="Q12" s="879"/>
      <c r="R12" s="568" t="s">
        <v>238</v>
      </c>
      <c r="S12" s="441"/>
    </row>
    <row r="13" spans="1:20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v>1</v>
      </c>
      <c r="M13" s="305">
        <f>IF(L13=0,"-",ROUND(L13*B13/B$77,4))</f>
        <v>0.2</v>
      </c>
      <c r="N13" s="425" t="s">
        <v>213</v>
      </c>
      <c r="O13" s="497">
        <v>4</v>
      </c>
      <c r="P13" s="919">
        <f>สพญ.!R10</f>
        <v>243287331</v>
      </c>
      <c r="Q13" s="919"/>
      <c r="R13" s="611">
        <f>สพญ.!S10</f>
        <v>50.68</v>
      </c>
      <c r="S13" s="292" t="s">
        <v>244</v>
      </c>
      <c r="T13" s="501"/>
    </row>
    <row r="14" spans="1:20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25" t="s">
        <v>199</v>
      </c>
      <c r="O14" s="441"/>
      <c r="P14" s="441"/>
      <c r="Q14" s="441"/>
      <c r="R14" s="612"/>
      <c r="S14" s="441"/>
    </row>
    <row r="15" spans="1:20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N15" s="481" t="s">
        <v>236</v>
      </c>
      <c r="O15" s="441"/>
      <c r="P15" s="920"/>
      <c r="Q15" s="920"/>
      <c r="R15" s="613"/>
      <c r="S15" s="441"/>
    </row>
    <row r="16" spans="1:20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</row>
    <row r="17" spans="1:32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</row>
    <row r="18" spans="1:32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R13</f>
        <v>50.68</v>
      </c>
      <c r="K18" s="570" t="s">
        <v>51</v>
      </c>
      <c r="L18" s="307"/>
      <c r="M18" s="308"/>
    </row>
    <row r="19" spans="1:32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32" ht="24" customHeight="1" x14ac:dyDescent="0.35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74" t="s">
        <v>148</v>
      </c>
      <c r="I20" s="571"/>
      <c r="J20" s="571"/>
      <c r="K20" s="572"/>
      <c r="L20" s="304">
        <f>2+P24</f>
        <v>2.4124698225889034</v>
      </c>
      <c r="M20" s="305">
        <f>IF(L20=0,"-",ROUND(L20*B20/B$77,4))</f>
        <v>0.1608</v>
      </c>
      <c r="N20" s="425" t="s">
        <v>213</v>
      </c>
      <c r="O20" s="450" t="s">
        <v>214</v>
      </c>
      <c r="P20" s="451"/>
      <c r="Q20" s="452"/>
      <c r="R20" s="453">
        <v>73636204</v>
      </c>
      <c r="S20" s="292" t="s">
        <v>187</v>
      </c>
    </row>
    <row r="21" spans="1:32" ht="24" customHeight="1" x14ac:dyDescent="0.35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48" t="s">
        <v>200</v>
      </c>
      <c r="O21" s="443" t="s">
        <v>215</v>
      </c>
      <c r="P21" s="444"/>
      <c r="Q21" s="446"/>
      <c r="R21" s="473">
        <v>71730845</v>
      </c>
      <c r="S21" s="292" t="s">
        <v>187</v>
      </c>
    </row>
    <row r="22" spans="1:32" ht="24" customHeight="1" x14ac:dyDescent="0.35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2">
        <f>R21*100/R20</f>
        <v>97.412469822588903</v>
      </c>
      <c r="S22" s="292" t="s">
        <v>51</v>
      </c>
    </row>
    <row r="23" spans="1:32" ht="24" customHeight="1" x14ac:dyDescent="0.35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1" t="s">
        <v>236</v>
      </c>
      <c r="O23" s="292">
        <v>1</v>
      </c>
      <c r="P23" s="292">
        <v>1</v>
      </c>
    </row>
    <row r="24" spans="1:32" ht="24" customHeight="1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324">
        <f>R22</f>
        <v>97.412469822588903</v>
      </c>
      <c r="K24" s="570" t="s">
        <v>51</v>
      </c>
      <c r="L24" s="307"/>
      <c r="M24" s="308"/>
      <c r="O24" s="542">
        <f>J24-97</f>
        <v>0.41246982258890341</v>
      </c>
      <c r="P24" s="292">
        <f>P23*O24/O23</f>
        <v>0.41246982258890341</v>
      </c>
    </row>
    <row r="25" spans="1:32" ht="24" customHeight="1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32" ht="24" customHeight="1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5" t="s">
        <v>213</v>
      </c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</row>
    <row r="27" spans="1:32" ht="24" customHeight="1" x14ac:dyDescent="0.35">
      <c r="A27" s="309" t="s">
        <v>28</v>
      </c>
      <c r="B27" s="352"/>
      <c r="C27" s="320"/>
      <c r="D27" s="320"/>
      <c r="E27" s="320"/>
      <c r="F27" s="320"/>
      <c r="G27" s="320"/>
      <c r="H27" s="569" t="s">
        <v>154</v>
      </c>
      <c r="I27" s="573"/>
      <c r="J27" s="573"/>
      <c r="K27" s="570"/>
      <c r="L27" s="307"/>
      <c r="M27" s="308"/>
      <c r="N27" s="448" t="s">
        <v>201</v>
      </c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</row>
    <row r="28" spans="1:32" ht="24" customHeight="1" x14ac:dyDescent="0.35">
      <c r="A28" s="309" t="s">
        <v>60</v>
      </c>
      <c r="B28" s="352"/>
      <c r="C28" s="320"/>
      <c r="D28" s="320"/>
      <c r="E28" s="320"/>
      <c r="F28" s="320"/>
      <c r="G28" s="320"/>
      <c r="H28" s="569" t="s">
        <v>64</v>
      </c>
      <c r="I28" s="573"/>
      <c r="J28" s="573"/>
      <c r="K28" s="570"/>
      <c r="L28" s="307"/>
      <c r="M28" s="308"/>
      <c r="N28" s="481" t="s">
        <v>236</v>
      </c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</row>
    <row r="29" spans="1:32" ht="24" customHeight="1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339</v>
      </c>
      <c r="K29" s="382"/>
      <c r="L29" s="307"/>
      <c r="M29" s="308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</row>
    <row r="30" spans="1:32" ht="24" customHeight="1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3</v>
      </c>
      <c r="K30" s="382" t="s">
        <v>61</v>
      </c>
      <c r="L30" s="307"/>
      <c r="M30" s="308"/>
      <c r="O30" s="356"/>
      <c r="P30" s="356"/>
      <c r="Q30" s="356"/>
      <c r="R30" s="356"/>
      <c r="S30" s="356"/>
      <c r="T30" s="356"/>
      <c r="U30" s="356"/>
      <c r="V30" s="357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</row>
    <row r="31" spans="1:32" ht="24" customHeight="1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3</v>
      </c>
      <c r="K31" s="382" t="s">
        <v>61</v>
      </c>
      <c r="L31" s="307"/>
      <c r="M31" s="308"/>
      <c r="N31" s="425"/>
      <c r="O31" s="356"/>
      <c r="P31" s="356"/>
      <c r="Q31" s="356"/>
      <c r="R31" s="356"/>
      <c r="S31" s="356"/>
      <c r="T31" s="356"/>
      <c r="U31" s="356"/>
      <c r="V31" s="357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</row>
    <row r="32" spans="1:32" ht="24" customHeight="1" x14ac:dyDescent="0.35">
      <c r="A32" s="309"/>
      <c r="B32" s="352"/>
      <c r="C32" s="320"/>
      <c r="D32" s="320"/>
      <c r="E32" s="320"/>
      <c r="F32" s="320"/>
      <c r="G32" s="320"/>
      <c r="H32" s="569"/>
      <c r="I32" s="323" t="s">
        <v>81</v>
      </c>
      <c r="J32" s="334">
        <f>J31*100/J30</f>
        <v>100</v>
      </c>
      <c r="K32" s="570" t="s">
        <v>51</v>
      </c>
      <c r="L32" s="307"/>
      <c r="M32" s="308"/>
    </row>
    <row r="33" spans="1:14" ht="24" customHeight="1" x14ac:dyDescent="0.35">
      <c r="A33" s="325"/>
      <c r="B33" s="359"/>
      <c r="C33" s="310"/>
      <c r="D33" s="310"/>
      <c r="E33" s="310"/>
      <c r="F33" s="310"/>
      <c r="G33" s="310"/>
      <c r="H33" s="565"/>
      <c r="I33" s="423"/>
      <c r="J33" s="423"/>
      <c r="K33" s="424"/>
      <c r="L33" s="326"/>
      <c r="M33" s="299"/>
    </row>
    <row r="34" spans="1:14" ht="24" customHeight="1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4" t="s">
        <v>152</v>
      </c>
      <c r="I34" s="571"/>
      <c r="J34" s="571"/>
      <c r="K34" s="572"/>
      <c r="L34" s="304">
        <v>1</v>
      </c>
      <c r="M34" s="305">
        <f>IF(L34=0,"-",ROUND(L34*B34/B$77,4))</f>
        <v>6.6699999999999995E-2</v>
      </c>
      <c r="N34" s="425" t="s">
        <v>213</v>
      </c>
    </row>
    <row r="35" spans="1:14" ht="24" customHeight="1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3" t="s">
        <v>153</v>
      </c>
      <c r="I35" s="573"/>
      <c r="J35" s="573"/>
      <c r="K35" s="570"/>
      <c r="L35" s="307"/>
      <c r="M35" s="308"/>
      <c r="N35" s="481" t="s">
        <v>236</v>
      </c>
    </row>
    <row r="36" spans="1:14" ht="24" customHeight="1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3" t="s">
        <v>180</v>
      </c>
      <c r="I36" s="573"/>
      <c r="J36" s="573"/>
      <c r="K36" s="570"/>
      <c r="L36" s="307"/>
      <c r="M36" s="308"/>
    </row>
    <row r="37" spans="1:14" ht="24" customHeight="1" x14ac:dyDescent="0.35">
      <c r="A37" s="309"/>
      <c r="B37" s="406"/>
      <c r="C37" s="336"/>
      <c r="D37" s="336"/>
      <c r="E37" s="336"/>
      <c r="F37" s="336"/>
      <c r="G37" s="390"/>
      <c r="H37" s="569"/>
      <c r="I37" s="323" t="s">
        <v>56</v>
      </c>
      <c r="J37" s="324">
        <v>50</v>
      </c>
      <c r="K37" s="570" t="s">
        <v>51</v>
      </c>
      <c r="L37" s="307"/>
      <c r="M37" s="308"/>
    </row>
    <row r="38" spans="1:14" ht="24" customHeight="1" x14ac:dyDescent="0.35">
      <c r="A38" s="325"/>
      <c r="B38" s="359"/>
      <c r="C38" s="310"/>
      <c r="D38" s="310"/>
      <c r="E38" s="310"/>
      <c r="F38" s="310"/>
      <c r="G38" s="310"/>
      <c r="H38" s="565"/>
      <c r="I38" s="566"/>
      <c r="J38" s="566"/>
      <c r="K38" s="567"/>
      <c r="L38" s="326"/>
      <c r="M38" s="299"/>
    </row>
    <row r="39" spans="1:14" ht="23.25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4" t="s">
        <v>186</v>
      </c>
      <c r="I39" s="571"/>
      <c r="J39" s="571"/>
      <c r="K39" s="572"/>
      <c r="L39" s="304">
        <v>1</v>
      </c>
      <c r="M39" s="305">
        <f>IF(L39=0,"-",ROUND(L39*B39/B$77,4))</f>
        <v>0.2</v>
      </c>
      <c r="N39" s="425" t="s">
        <v>199</v>
      </c>
    </row>
    <row r="40" spans="1:14" ht="23.25" x14ac:dyDescent="0.35">
      <c r="A40" s="309" t="s">
        <v>85</v>
      </c>
      <c r="B40" s="352"/>
      <c r="C40" s="320"/>
      <c r="D40" s="320"/>
      <c r="E40" s="320"/>
      <c r="F40" s="320"/>
      <c r="G40" s="320"/>
      <c r="H40" s="569" t="s">
        <v>196</v>
      </c>
      <c r="I40" s="573"/>
      <c r="J40" s="573"/>
      <c r="K40" s="570"/>
      <c r="L40" s="307"/>
      <c r="M40" s="308"/>
      <c r="N40" s="481" t="s">
        <v>236</v>
      </c>
    </row>
    <row r="41" spans="1:14" ht="23.25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237480000</v>
      </c>
      <c r="K41" s="570" t="s">
        <v>187</v>
      </c>
      <c r="L41" s="307"/>
      <c r="M41" s="308"/>
    </row>
    <row r="42" spans="1:14" ht="23.25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85600000</v>
      </c>
      <c r="K42" s="570" t="s">
        <v>187</v>
      </c>
      <c r="L42" s="307"/>
      <c r="M42" s="308"/>
    </row>
    <row r="43" spans="1:14" ht="23.25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36.045140643422606</v>
      </c>
      <c r="K43" s="570" t="s">
        <v>51</v>
      </c>
      <c r="L43" s="307"/>
      <c r="M43" s="308"/>
    </row>
    <row r="44" spans="1:14" ht="23.25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</row>
    <row r="45" spans="1:14" ht="23.25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4" t="s">
        <v>156</v>
      </c>
      <c r="I45" s="571"/>
      <c r="J45" s="571"/>
      <c r="K45" s="572"/>
      <c r="L45" s="304">
        <v>1</v>
      </c>
      <c r="M45" s="305">
        <f>IF(L45=0,"-",ROUND(L45*B45/B$77,4))</f>
        <v>6.6699999999999995E-2</v>
      </c>
      <c r="N45" s="425" t="s">
        <v>213</v>
      </c>
    </row>
    <row r="46" spans="1:14" ht="23.25" x14ac:dyDescent="0.35">
      <c r="A46" s="309" t="s">
        <v>145</v>
      </c>
      <c r="B46" s="352"/>
      <c r="C46" s="320"/>
      <c r="D46" s="320"/>
      <c r="E46" s="320"/>
      <c r="F46" s="320"/>
      <c r="G46" s="320"/>
      <c r="H46" s="569" t="s">
        <v>104</v>
      </c>
      <c r="I46" s="573"/>
      <c r="J46" s="573"/>
      <c r="K46" s="570"/>
      <c r="L46" s="307"/>
      <c r="M46" s="308"/>
    </row>
    <row r="47" spans="1:14" ht="23.25" x14ac:dyDescent="0.35">
      <c r="A47" s="389" t="s">
        <v>155</v>
      </c>
      <c r="B47" s="352"/>
      <c r="C47" s="320"/>
      <c r="D47" s="320"/>
      <c r="E47" s="320"/>
      <c r="F47" s="320"/>
      <c r="G47" s="320"/>
      <c r="H47" s="569" t="s">
        <v>105</v>
      </c>
      <c r="I47" s="573"/>
      <c r="J47" s="573"/>
      <c r="K47" s="570"/>
      <c r="L47" s="307"/>
      <c r="M47" s="308"/>
    </row>
    <row r="48" spans="1:14" ht="23.25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0" t="s">
        <v>51</v>
      </c>
      <c r="L48" s="307"/>
      <c r="M48" s="308"/>
    </row>
    <row r="49" spans="1:16" ht="23.25" x14ac:dyDescent="0.35">
      <c r="A49" s="325"/>
      <c r="B49" s="359"/>
      <c r="C49" s="310"/>
      <c r="D49" s="310"/>
      <c r="E49" s="310"/>
      <c r="F49" s="310"/>
      <c r="G49" s="415"/>
      <c r="H49" s="891" t="s">
        <v>211</v>
      </c>
      <c r="I49" s="892"/>
      <c r="J49" s="892"/>
      <c r="K49" s="893"/>
      <c r="L49" s="326"/>
      <c r="M49" s="299"/>
    </row>
    <row r="50" spans="1:16" ht="23.25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4" t="s">
        <v>108</v>
      </c>
      <c r="I50" s="571"/>
      <c r="J50" s="571"/>
      <c r="K50" s="572"/>
      <c r="L50" s="304">
        <v>2</v>
      </c>
      <c r="M50" s="305">
        <f>IF(L50=0,"-",ROUND(L50*B50/B$77,4))</f>
        <v>0.1333</v>
      </c>
      <c r="N50" s="425" t="s">
        <v>213</v>
      </c>
    </row>
    <row r="51" spans="1:16" ht="23.25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69" t="s">
        <v>146</v>
      </c>
      <c r="I51" s="573"/>
      <c r="J51" s="573"/>
      <c r="K51" s="570"/>
      <c r="L51" s="307"/>
      <c r="M51" s="308"/>
      <c r="N51" s="481" t="s">
        <v>236</v>
      </c>
    </row>
    <row r="52" spans="1:16" ht="23.25" x14ac:dyDescent="0.35">
      <c r="A52" s="309"/>
      <c r="B52" s="352"/>
      <c r="C52" s="344"/>
      <c r="D52" s="344"/>
      <c r="E52" s="344"/>
      <c r="F52" s="344"/>
      <c r="G52" s="344"/>
      <c r="H52" s="569" t="s">
        <v>110</v>
      </c>
      <c r="I52" s="573"/>
      <c r="J52" s="573"/>
      <c r="K52" s="570"/>
      <c r="L52" s="307"/>
      <c r="M52" s="308"/>
    </row>
    <row r="53" spans="1:16" ht="23.25" x14ac:dyDescent="0.35">
      <c r="A53" s="309"/>
      <c r="B53" s="352"/>
      <c r="C53" s="344"/>
      <c r="D53" s="344"/>
      <c r="E53" s="344"/>
      <c r="F53" s="344"/>
      <c r="G53" s="344"/>
      <c r="H53" s="569" t="s">
        <v>191</v>
      </c>
      <c r="I53" s="573"/>
      <c r="J53" s="573"/>
      <c r="K53" s="570"/>
      <c r="L53" s="307"/>
      <c r="M53" s="308"/>
    </row>
    <row r="54" spans="1:16" ht="23.25" x14ac:dyDescent="0.35">
      <c r="A54" s="309"/>
      <c r="B54" s="352"/>
      <c r="C54" s="344"/>
      <c r="D54" s="344"/>
      <c r="E54" s="344"/>
      <c r="F54" s="344"/>
      <c r="G54" s="344"/>
      <c r="H54" s="569"/>
      <c r="I54" s="323" t="s">
        <v>112</v>
      </c>
      <c r="J54" s="324">
        <v>2</v>
      </c>
      <c r="K54" s="382"/>
      <c r="L54" s="307"/>
      <c r="M54" s="308"/>
    </row>
    <row r="55" spans="1:16" ht="23.25" x14ac:dyDescent="0.35">
      <c r="A55" s="325"/>
      <c r="B55" s="359"/>
      <c r="C55" s="310"/>
      <c r="D55" s="310"/>
      <c r="E55" s="310"/>
      <c r="F55" s="310"/>
      <c r="G55" s="310"/>
      <c r="H55" s="891"/>
      <c r="I55" s="892"/>
      <c r="J55" s="892"/>
      <c r="K55" s="893"/>
      <c r="L55" s="326"/>
      <c r="M55" s="299"/>
    </row>
    <row r="56" spans="1:16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4" t="s">
        <v>123</v>
      </c>
      <c r="I56" s="571"/>
      <c r="J56" s="571"/>
      <c r="K56" s="572"/>
      <c r="L56" s="304">
        <f>4+P57</f>
        <v>5</v>
      </c>
      <c r="M56" s="305">
        <f>IF(L56=0,"-",ROUND(L56*B56/B$77,4))</f>
        <v>0.33329999999999999</v>
      </c>
      <c r="N56" s="425" t="s">
        <v>202</v>
      </c>
      <c r="O56" s="292">
        <v>30</v>
      </c>
      <c r="P56" s="292">
        <v>1</v>
      </c>
    </row>
    <row r="57" spans="1:16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69" t="s">
        <v>124</v>
      </c>
      <c r="I57" s="322"/>
      <c r="J57" s="353"/>
      <c r="K57" s="354"/>
      <c r="L57" s="355"/>
      <c r="M57" s="308"/>
      <c r="N57" s="481" t="s">
        <v>236</v>
      </c>
      <c r="O57" s="542">
        <f>J61-70</f>
        <v>30</v>
      </c>
      <c r="P57" s="292">
        <f>P56*O57/O56</f>
        <v>1</v>
      </c>
    </row>
    <row r="58" spans="1:16" ht="23.25" x14ac:dyDescent="0.35">
      <c r="A58" s="351"/>
      <c r="B58" s="352"/>
      <c r="C58" s="320"/>
      <c r="D58" s="320"/>
      <c r="E58" s="320"/>
      <c r="F58" s="320"/>
      <c r="G58" s="320"/>
      <c r="H58" s="573" t="s">
        <v>125</v>
      </c>
      <c r="I58" s="322"/>
      <c r="J58" s="353"/>
      <c r="K58" s="354"/>
      <c r="L58" s="355"/>
      <c r="M58" s="308"/>
    </row>
    <row r="59" spans="1:16" ht="23.25" x14ac:dyDescent="0.35">
      <c r="A59" s="351"/>
      <c r="B59" s="352"/>
      <c r="C59" s="320"/>
      <c r="D59" s="320"/>
      <c r="E59" s="320"/>
      <c r="F59" s="320"/>
      <c r="G59" s="320"/>
      <c r="H59" s="569" t="s">
        <v>126</v>
      </c>
      <c r="I59" s="322"/>
      <c r="J59" s="353"/>
      <c r="K59" s="354"/>
      <c r="L59" s="355"/>
      <c r="M59" s="308"/>
    </row>
    <row r="60" spans="1:16" ht="23.25" x14ac:dyDescent="0.35">
      <c r="A60" s="351"/>
      <c r="B60" s="352"/>
      <c r="C60" s="320"/>
      <c r="D60" s="320"/>
      <c r="E60" s="320"/>
      <c r="F60" s="320"/>
      <c r="G60" s="320"/>
      <c r="H60" s="569" t="s">
        <v>127</v>
      </c>
      <c r="I60" s="322"/>
      <c r="J60" s="353"/>
      <c r="K60" s="354"/>
      <c r="L60" s="355"/>
      <c r="M60" s="308"/>
    </row>
    <row r="61" spans="1:16" ht="23.25" x14ac:dyDescent="0.35">
      <c r="A61" s="351"/>
      <c r="B61" s="352"/>
      <c r="C61" s="320"/>
      <c r="D61" s="320"/>
      <c r="E61" s="320"/>
      <c r="F61" s="320"/>
      <c r="G61" s="320"/>
      <c r="H61" s="569"/>
      <c r="I61" s="323" t="s">
        <v>114</v>
      </c>
      <c r="J61" s="408">
        <f>สพญ.!S91</f>
        <v>100</v>
      </c>
      <c r="K61" s="382" t="s">
        <v>51</v>
      </c>
      <c r="L61" s="355"/>
      <c r="M61" s="308"/>
    </row>
    <row r="62" spans="1:16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6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4" t="s">
        <v>157</v>
      </c>
      <c r="I63" s="571"/>
      <c r="J63" s="571"/>
      <c r="K63" s="572"/>
      <c r="L63" s="304">
        <v>5</v>
      </c>
      <c r="M63" s="305">
        <f>IF(L63=0,"-",ROUND(L63*B63/B$77,4))</f>
        <v>0.33329999999999999</v>
      </c>
    </row>
    <row r="64" spans="1:16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69" t="s">
        <v>158</v>
      </c>
      <c r="I64" s="573"/>
      <c r="J64" s="573"/>
      <c r="K64" s="570"/>
      <c r="L64" s="362"/>
      <c r="M64" s="308"/>
    </row>
    <row r="65" spans="1:13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69" t="s">
        <v>197</v>
      </c>
      <c r="I65" s="573"/>
      <c r="J65" s="573"/>
      <c r="K65" s="570"/>
      <c r="L65" s="362"/>
      <c r="M65" s="308"/>
    </row>
    <row r="66" spans="1:13" ht="23.25" x14ac:dyDescent="0.35">
      <c r="A66" s="309"/>
      <c r="B66" s="352"/>
      <c r="C66" s="320"/>
      <c r="D66" s="320"/>
      <c r="E66" s="320"/>
      <c r="F66" s="320"/>
      <c r="G66" s="320"/>
      <c r="H66" s="569" t="s">
        <v>120</v>
      </c>
      <c r="I66" s="573"/>
      <c r="J66" s="573"/>
      <c r="K66" s="570"/>
      <c r="L66" s="362"/>
      <c r="M66" s="308"/>
    </row>
    <row r="67" spans="1:13" ht="23.25" x14ac:dyDescent="0.35">
      <c r="A67" s="309"/>
      <c r="B67" s="352"/>
      <c r="C67" s="320"/>
      <c r="D67" s="320"/>
      <c r="E67" s="320"/>
      <c r="F67" s="320"/>
      <c r="G67" s="320"/>
      <c r="H67" s="569" t="s">
        <v>194</v>
      </c>
      <c r="I67" s="573"/>
      <c r="J67" s="573"/>
      <c r="K67" s="570"/>
      <c r="L67" s="362"/>
      <c r="M67" s="308"/>
    </row>
    <row r="68" spans="1:13" ht="23.25" x14ac:dyDescent="0.35">
      <c r="A68" s="309"/>
      <c r="B68" s="352"/>
      <c r="C68" s="320"/>
      <c r="D68" s="320"/>
      <c r="E68" s="320"/>
      <c r="F68" s="320"/>
      <c r="G68" s="344"/>
      <c r="H68" s="569" t="s">
        <v>195</v>
      </c>
      <c r="I68" s="345"/>
      <c r="J68" s="408">
        <v>100</v>
      </c>
      <c r="K68" s="413" t="s">
        <v>51</v>
      </c>
      <c r="L68" s="412"/>
      <c r="M68" s="308"/>
    </row>
    <row r="69" spans="1:13" ht="23.25" x14ac:dyDescent="0.35">
      <c r="A69" s="358"/>
      <c r="B69" s="414"/>
      <c r="C69" s="411"/>
      <c r="D69" s="411"/>
      <c r="E69" s="411"/>
      <c r="F69" s="411"/>
      <c r="G69" s="329"/>
      <c r="H69" s="576"/>
      <c r="I69" s="582"/>
      <c r="J69" s="583"/>
      <c r="K69" s="584"/>
      <c r="L69" s="416"/>
      <c r="M69" s="308"/>
    </row>
    <row r="70" spans="1:13" ht="23.25" x14ac:dyDescent="0.35">
      <c r="A70" s="351" t="s">
        <v>324</v>
      </c>
      <c r="B70" s="585">
        <v>4</v>
      </c>
      <c r="C70" s="586">
        <v>0.4</v>
      </c>
      <c r="D70" s="586">
        <v>0.45</v>
      </c>
      <c r="E70" s="586">
        <v>0.5</v>
      </c>
      <c r="F70" s="586">
        <v>0.55000000000000004</v>
      </c>
      <c r="G70" s="586">
        <v>0.6</v>
      </c>
      <c r="H70" s="569" t="s">
        <v>325</v>
      </c>
      <c r="I70" s="345"/>
      <c r="J70" s="587"/>
      <c r="K70" s="588"/>
      <c r="L70" s="412">
        <v>3</v>
      </c>
      <c r="M70" s="305">
        <f>IF(L70=0,"-",ROUND(L70*B70/B$77,4))</f>
        <v>0.2</v>
      </c>
    </row>
    <row r="71" spans="1:13" ht="23.25" x14ac:dyDescent="0.35">
      <c r="A71" s="351" t="s">
        <v>326</v>
      </c>
      <c r="B71" s="406"/>
      <c r="C71" s="311"/>
      <c r="D71" s="311"/>
      <c r="E71" s="311"/>
      <c r="F71" s="311"/>
      <c r="G71" s="333"/>
      <c r="H71" s="569" t="s">
        <v>327</v>
      </c>
      <c r="I71" s="345"/>
      <c r="J71" s="587"/>
      <c r="K71" s="588"/>
      <c r="L71" s="412"/>
      <c r="M71" s="308"/>
    </row>
    <row r="72" spans="1:13" ht="23.25" x14ac:dyDescent="0.35">
      <c r="A72" s="351"/>
      <c r="B72" s="406"/>
      <c r="C72" s="311"/>
      <c r="D72" s="311"/>
      <c r="E72" s="311"/>
      <c r="F72" s="311"/>
      <c r="G72" s="333"/>
      <c r="H72" s="569"/>
      <c r="I72" s="345"/>
      <c r="J72" s="587"/>
      <c r="K72" s="588"/>
      <c r="L72" s="412"/>
      <c r="M72" s="308"/>
    </row>
    <row r="73" spans="1:13" ht="23.25" x14ac:dyDescent="0.35">
      <c r="A73" s="351"/>
      <c r="B73" s="406"/>
      <c r="C73" s="311"/>
      <c r="D73" s="311"/>
      <c r="E73" s="311"/>
      <c r="F73" s="311"/>
      <c r="G73" s="333"/>
      <c r="H73" s="569"/>
      <c r="I73" s="345" t="s">
        <v>174</v>
      </c>
      <c r="J73" s="589">
        <v>50</v>
      </c>
      <c r="K73" s="413" t="s">
        <v>51</v>
      </c>
      <c r="L73" s="412"/>
      <c r="M73" s="308"/>
    </row>
    <row r="74" spans="1:13" ht="23.25" x14ac:dyDescent="0.35">
      <c r="A74" s="351"/>
      <c r="B74" s="406"/>
      <c r="C74" s="311"/>
      <c r="D74" s="311"/>
      <c r="E74" s="311"/>
      <c r="F74" s="311"/>
      <c r="G74" s="333"/>
      <c r="H74" s="569"/>
      <c r="I74" s="345"/>
      <c r="J74" s="587"/>
      <c r="K74" s="588"/>
      <c r="L74" s="412"/>
      <c r="M74" s="308"/>
    </row>
    <row r="75" spans="1:13" ht="23.25" x14ac:dyDescent="0.35">
      <c r="A75" s="351"/>
      <c r="B75" s="406"/>
      <c r="C75" s="311"/>
      <c r="D75" s="311"/>
      <c r="E75" s="311"/>
      <c r="F75" s="311"/>
      <c r="G75" s="333"/>
      <c r="H75" s="569"/>
      <c r="I75" s="345"/>
      <c r="J75" s="587"/>
      <c r="K75" s="588"/>
      <c r="L75" s="412"/>
      <c r="M75" s="308"/>
    </row>
    <row r="76" spans="1:13" ht="23.25" x14ac:dyDescent="0.35">
      <c r="A76" s="358"/>
      <c r="B76" s="414"/>
      <c r="C76" s="411"/>
      <c r="D76" s="411"/>
      <c r="E76" s="411"/>
      <c r="F76" s="411"/>
      <c r="G76" s="415"/>
      <c r="H76" s="576"/>
      <c r="I76" s="345"/>
      <c r="J76" s="587"/>
      <c r="K76" s="584"/>
      <c r="L76" s="412"/>
      <c r="M76" s="308"/>
    </row>
    <row r="77" spans="1:13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SUM(M6:M76)</f>
        <v>2.3475000000000001</v>
      </c>
    </row>
  </sheetData>
  <mergeCells count="19">
    <mergeCell ref="H55:K55"/>
    <mergeCell ref="H13:K13"/>
    <mergeCell ref="P13:Q13"/>
    <mergeCell ref="H14:K14"/>
    <mergeCell ref="H15:K15"/>
    <mergeCell ref="P15:Q15"/>
    <mergeCell ref="H49:K49"/>
    <mergeCell ref="P12:Q12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9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8" width="9.140625" style="292"/>
    <col min="19" max="19" width="9.42578125" style="292" bestFit="1" customWidth="1"/>
    <col min="20" max="20" width="9.140625" style="292"/>
    <col min="21" max="22" width="11.7109375" style="292" bestFit="1" customWidth="1"/>
    <col min="23" max="24" width="9.140625" style="292"/>
    <col min="25" max="25" width="58.140625" style="292" bestFit="1" customWidth="1"/>
    <col min="26" max="27" width="9.85546875" style="292" bestFit="1" customWidth="1"/>
    <col min="28" max="29" width="9.140625" style="292"/>
    <col min="30" max="30" width="13.7109375" style="292" bestFit="1" customWidth="1"/>
    <col min="31" max="16384" width="9.140625" style="292"/>
  </cols>
  <sheetData>
    <row r="1" spans="1:19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9" ht="24" customHeight="1" x14ac:dyDescent="0.4">
      <c r="A2" s="897" t="s">
        <v>386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19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O3" s="425" t="s">
        <v>340</v>
      </c>
    </row>
    <row r="4" spans="1:19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19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19" ht="24" customHeight="1" x14ac:dyDescent="0.35">
      <c r="A6" s="302" t="s">
        <v>165</v>
      </c>
      <c r="B6" s="391">
        <v>12</v>
      </c>
      <c r="C6" s="313">
        <v>3140</v>
      </c>
      <c r="D6" s="313">
        <v>3230</v>
      </c>
      <c r="E6" s="313">
        <v>3321</v>
      </c>
      <c r="F6" s="313">
        <v>3412</v>
      </c>
      <c r="G6" s="313">
        <v>3502</v>
      </c>
      <c r="H6" s="909" t="s">
        <v>14</v>
      </c>
      <c r="I6" s="910"/>
      <c r="J6" s="912" t="s">
        <v>15</v>
      </c>
      <c r="K6" s="912"/>
      <c r="L6" s="304">
        <v>5</v>
      </c>
      <c r="M6" s="305">
        <f>IF(L6=0,"-",ROUND(L6*B6/B$83,4))</f>
        <v>0.83330000000000004</v>
      </c>
      <c r="N6" s="425" t="s">
        <v>213</v>
      </c>
    </row>
    <row r="7" spans="1:19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911"/>
      <c r="I7" s="878"/>
      <c r="J7" s="568" t="s">
        <v>17</v>
      </c>
      <c r="K7" s="367" t="s">
        <v>18</v>
      </c>
      <c r="L7" s="307"/>
      <c r="M7" s="308"/>
      <c r="N7" s="481" t="s">
        <v>236</v>
      </c>
    </row>
    <row r="8" spans="1:19" ht="24" customHeight="1" x14ac:dyDescent="0.35">
      <c r="A8" s="309"/>
      <c r="B8" s="399"/>
      <c r="C8" s="320"/>
      <c r="D8" s="320"/>
      <c r="E8" s="320"/>
      <c r="F8" s="320"/>
      <c r="G8" s="320"/>
      <c r="H8" s="574" t="s">
        <v>19</v>
      </c>
      <c r="I8" s="572"/>
      <c r="J8" s="398">
        <v>3800</v>
      </c>
      <c r="K8" s="615">
        <v>3800</v>
      </c>
      <c r="L8" s="307"/>
      <c r="M8" s="308"/>
      <c r="N8" s="425"/>
      <c r="S8" s="315"/>
    </row>
    <row r="9" spans="1:19" ht="24" customHeight="1" x14ac:dyDescent="0.35">
      <c r="A9" s="309"/>
      <c r="B9" s="399"/>
      <c r="C9" s="320"/>
      <c r="D9" s="320"/>
      <c r="E9" s="320"/>
      <c r="F9" s="320"/>
      <c r="G9" s="320"/>
      <c r="H9" s="880" t="s">
        <v>140</v>
      </c>
      <c r="I9" s="881"/>
      <c r="J9" s="400"/>
      <c r="K9" s="368"/>
      <c r="L9" s="307"/>
      <c r="M9" s="308"/>
      <c r="S9" s="315"/>
    </row>
    <row r="10" spans="1:19" ht="24" customHeight="1" x14ac:dyDescent="0.35">
      <c r="A10" s="309"/>
      <c r="B10" s="399"/>
      <c r="C10" s="320"/>
      <c r="D10" s="320"/>
      <c r="E10" s="320"/>
      <c r="F10" s="320"/>
      <c r="G10" s="320"/>
      <c r="H10" s="880"/>
      <c r="I10" s="881"/>
      <c r="J10" s="400"/>
      <c r="K10" s="321"/>
      <c r="L10" s="307"/>
      <c r="M10" s="308"/>
      <c r="S10" s="315"/>
    </row>
    <row r="11" spans="1:19" ht="24" customHeight="1" thickBot="1" x14ac:dyDescent="0.4">
      <c r="A11" s="309"/>
      <c r="B11" s="399"/>
      <c r="C11" s="320"/>
      <c r="D11" s="320"/>
      <c r="E11" s="320"/>
      <c r="F11" s="320"/>
      <c r="G11" s="320"/>
      <c r="H11" s="888" t="s">
        <v>20</v>
      </c>
      <c r="I11" s="888"/>
      <c r="J11" s="401">
        <f>SUM(J8:J10)</f>
        <v>3800</v>
      </c>
      <c r="K11" s="428">
        <f>K8</f>
        <v>3800</v>
      </c>
      <c r="L11" s="307"/>
      <c r="M11" s="308"/>
      <c r="N11" s="425"/>
      <c r="S11" s="315"/>
    </row>
    <row r="12" spans="1:19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894" t="s">
        <v>141</v>
      </c>
      <c r="I12" s="895"/>
      <c r="J12" s="895"/>
      <c r="K12" s="896"/>
      <c r="L12" s="304">
        <f>สพญ.!L21</f>
        <v>4.8019259259259259</v>
      </c>
      <c r="M12" s="305">
        <f>IF(L12=0,"-",ROUND(L12*B12/B$83,4))</f>
        <v>0.26679999999999998</v>
      </c>
      <c r="N12" s="425" t="s">
        <v>213</v>
      </c>
      <c r="S12" s="315"/>
    </row>
    <row r="13" spans="1:19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880" t="s">
        <v>142</v>
      </c>
      <c r="I13" s="887"/>
      <c r="J13" s="887"/>
      <c r="K13" s="881"/>
      <c r="L13" s="307"/>
      <c r="M13" s="308"/>
      <c r="N13" s="481" t="s">
        <v>236</v>
      </c>
    </row>
    <row r="14" spans="1:19" ht="24" customHeight="1" x14ac:dyDescent="0.35">
      <c r="A14" s="309"/>
      <c r="B14" s="399"/>
      <c r="C14" s="320"/>
      <c r="D14" s="320"/>
      <c r="E14" s="320"/>
      <c r="F14" s="320"/>
      <c r="G14" s="320"/>
      <c r="H14" s="880" t="s">
        <v>143</v>
      </c>
      <c r="I14" s="887"/>
      <c r="J14" s="887"/>
      <c r="K14" s="881"/>
      <c r="L14" s="307"/>
      <c r="M14" s="308"/>
    </row>
    <row r="15" spans="1:19" ht="24" customHeight="1" x14ac:dyDescent="0.35">
      <c r="A15" s="309"/>
      <c r="B15" s="399"/>
      <c r="C15" s="320"/>
      <c r="D15" s="320"/>
      <c r="E15" s="320"/>
      <c r="F15" s="320"/>
      <c r="G15" s="320"/>
      <c r="H15" s="880" t="s">
        <v>144</v>
      </c>
      <c r="I15" s="887"/>
      <c r="J15" s="887"/>
      <c r="K15" s="881"/>
      <c r="L15" s="307"/>
      <c r="M15" s="308"/>
    </row>
    <row r="16" spans="1:19" ht="24" customHeight="1" x14ac:dyDescent="0.35">
      <c r="A16" s="309"/>
      <c r="B16" s="399"/>
      <c r="C16" s="320"/>
      <c r="D16" s="320"/>
      <c r="E16" s="320"/>
      <c r="F16" s="320"/>
      <c r="G16" s="320"/>
      <c r="H16" s="880" t="s">
        <v>170</v>
      </c>
      <c r="I16" s="887"/>
      <c r="J16" s="887"/>
      <c r="K16" s="881"/>
      <c r="L16" s="307"/>
      <c r="M16" s="308"/>
    </row>
    <row r="17" spans="1:32" ht="24" customHeight="1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0" t="s">
        <v>51</v>
      </c>
      <c r="L17" s="307"/>
      <c r="M17" s="308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</row>
    <row r="18" spans="1:32" ht="24" customHeight="1" x14ac:dyDescent="0.35">
      <c r="A18" s="325"/>
      <c r="B18" s="402"/>
      <c r="C18" s="310"/>
      <c r="D18" s="310"/>
      <c r="E18" s="310"/>
      <c r="F18" s="310"/>
      <c r="G18" s="310"/>
      <c r="H18" s="891" t="s">
        <v>316</v>
      </c>
      <c r="I18" s="892"/>
      <c r="J18" s="892"/>
      <c r="K18" s="893"/>
      <c r="L18" s="326"/>
      <c r="M18" s="299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356"/>
    </row>
    <row r="19" spans="1:32" ht="24" customHeight="1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895" t="s">
        <v>171</v>
      </c>
      <c r="I19" s="895"/>
      <c r="J19" s="895"/>
      <c r="K19" s="896"/>
      <c r="L19" s="304">
        <f>2+P20</f>
        <v>2.5180000000000007</v>
      </c>
      <c r="M19" s="305">
        <f>IF(L19=0,"-",ROUND(L19*B19/B$83,4))</f>
        <v>0.41970000000000002</v>
      </c>
      <c r="N19" s="425" t="s">
        <v>213</v>
      </c>
      <c r="O19" s="356">
        <v>10</v>
      </c>
      <c r="P19" s="356">
        <v>1</v>
      </c>
      <c r="Q19" s="356"/>
      <c r="R19" s="356"/>
      <c r="S19" s="356"/>
      <c r="T19" s="356"/>
      <c r="U19" s="879" t="s">
        <v>320</v>
      </c>
      <c r="V19" s="879"/>
      <c r="W19" s="568" t="s">
        <v>238</v>
      </c>
      <c r="X19" s="322"/>
      <c r="Y19" s="322"/>
      <c r="Z19" s="322"/>
      <c r="AA19" s="322"/>
      <c r="AB19" s="322"/>
      <c r="AC19" s="322"/>
      <c r="AD19" s="356"/>
      <c r="AE19" s="356"/>
      <c r="AF19" s="356"/>
    </row>
    <row r="20" spans="1:32" ht="24" customHeight="1" x14ac:dyDescent="0.5">
      <c r="A20" s="309" t="s">
        <v>21</v>
      </c>
      <c r="B20" s="352"/>
      <c r="C20" s="320"/>
      <c r="D20" s="320"/>
      <c r="E20" s="320"/>
      <c r="F20" s="320"/>
      <c r="G20" s="320"/>
      <c r="H20" s="880" t="s">
        <v>83</v>
      </c>
      <c r="I20" s="887"/>
      <c r="J20" s="887"/>
      <c r="K20" s="881"/>
      <c r="L20" s="307"/>
      <c r="M20" s="308"/>
      <c r="N20" s="448" t="s">
        <v>199</v>
      </c>
      <c r="O20" s="542">
        <f>J24-80</f>
        <v>5.1800000000000068</v>
      </c>
      <c r="P20" s="292">
        <f>P19*O20/O19</f>
        <v>0.51800000000000068</v>
      </c>
      <c r="Q20" s="356"/>
      <c r="R20" s="608" t="s">
        <v>340</v>
      </c>
      <c r="S20" s="568"/>
      <c r="T20" s="568"/>
      <c r="U20" s="921">
        <v>107120000</v>
      </c>
      <c r="V20" s="922"/>
      <c r="W20" s="790">
        <f>สพญ.!S11</f>
        <v>85.18</v>
      </c>
      <c r="X20" s="616" t="s">
        <v>51</v>
      </c>
      <c r="Y20" s="322"/>
      <c r="Z20" s="496"/>
      <c r="AA20" s="617"/>
      <c r="AB20" s="441"/>
      <c r="AC20" s="322"/>
      <c r="AD20" s="356"/>
      <c r="AE20" s="356"/>
      <c r="AF20" s="356"/>
    </row>
    <row r="21" spans="1:32" ht="24" customHeight="1" x14ac:dyDescent="0.5">
      <c r="A21" s="309"/>
      <c r="B21" s="352"/>
      <c r="C21" s="320"/>
      <c r="D21" s="320"/>
      <c r="E21" s="320"/>
      <c r="F21" s="320"/>
      <c r="G21" s="320"/>
      <c r="H21" s="880" t="s">
        <v>172</v>
      </c>
      <c r="I21" s="887"/>
      <c r="J21" s="887"/>
      <c r="K21" s="881"/>
      <c r="L21" s="307"/>
      <c r="M21" s="308"/>
      <c r="N21" s="481" t="s">
        <v>236</v>
      </c>
      <c r="O21" s="356"/>
      <c r="P21" s="356"/>
      <c r="Q21" s="356"/>
      <c r="R21" s="356"/>
      <c r="S21" s="356"/>
      <c r="T21" s="356"/>
      <c r="U21" s="356"/>
      <c r="V21" s="357"/>
      <c r="W21" s="356"/>
      <c r="X21" s="322"/>
      <c r="Y21" s="322"/>
      <c r="Z21" s="496"/>
      <c r="AA21" s="617"/>
      <c r="AB21" s="441"/>
      <c r="AC21" s="322"/>
      <c r="AD21" s="356"/>
      <c r="AE21" s="356"/>
      <c r="AF21" s="356"/>
    </row>
    <row r="22" spans="1:32" ht="24" customHeight="1" x14ac:dyDescent="0.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0"/>
      <c r="L22" s="307"/>
      <c r="M22" s="308"/>
      <c r="Q22" s="356"/>
      <c r="R22" s="356"/>
      <c r="S22" s="356"/>
      <c r="T22" s="356"/>
      <c r="U22" s="356"/>
      <c r="V22" s="357"/>
      <c r="W22" s="356"/>
      <c r="X22" s="322"/>
      <c r="Y22" s="322"/>
      <c r="Z22" s="496"/>
      <c r="AA22" s="617"/>
      <c r="AB22" s="441"/>
      <c r="AC22" s="322"/>
      <c r="AD22" s="356"/>
      <c r="AE22" s="356"/>
      <c r="AF22" s="356"/>
    </row>
    <row r="23" spans="1:32" ht="24" customHeight="1" x14ac:dyDescent="0.35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70"/>
      <c r="L23" s="307"/>
      <c r="M23" s="308"/>
      <c r="X23" s="441"/>
      <c r="Y23" s="441"/>
      <c r="Z23" s="441"/>
      <c r="AA23" s="441"/>
      <c r="AB23" s="441"/>
      <c r="AC23" s="441"/>
    </row>
    <row r="24" spans="1:32" ht="23.25" x14ac:dyDescent="0.3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618">
        <f>W20</f>
        <v>85.18</v>
      </c>
      <c r="K24" s="570" t="s">
        <v>51</v>
      </c>
      <c r="L24" s="307"/>
      <c r="M24" s="308"/>
      <c r="X24" s="441"/>
      <c r="Y24" s="441"/>
      <c r="Z24" s="441"/>
      <c r="AA24" s="441"/>
      <c r="AB24" s="441"/>
      <c r="AC24" s="441"/>
    </row>
    <row r="25" spans="1:32" ht="23.25" x14ac:dyDescent="0.3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U25" s="568" t="s">
        <v>228</v>
      </c>
      <c r="V25" s="568" t="s">
        <v>330</v>
      </c>
      <c r="X25" s="441"/>
      <c r="Y25" s="441"/>
      <c r="Z25" s="441"/>
      <c r="AA25" s="441"/>
      <c r="AB25" s="441"/>
      <c r="AC25" s="441"/>
    </row>
    <row r="26" spans="1:32" ht="25.5" x14ac:dyDescent="0.5">
      <c r="A26" s="302" t="s">
        <v>179</v>
      </c>
      <c r="B26" s="403">
        <v>4</v>
      </c>
      <c r="C26" s="332">
        <v>0.5</v>
      </c>
      <c r="D26" s="332">
        <v>0.75</v>
      </c>
      <c r="E26" s="332">
        <v>1</v>
      </c>
      <c r="F26" s="332">
        <v>1</v>
      </c>
      <c r="G26" s="332">
        <v>1</v>
      </c>
      <c r="H26" s="894" t="s">
        <v>57</v>
      </c>
      <c r="I26" s="895"/>
      <c r="J26" s="895"/>
      <c r="K26" s="896"/>
      <c r="L26" s="304">
        <f>1+P30</f>
        <v>1.5244419111111109</v>
      </c>
      <c r="M26" s="305">
        <f>IF(L26=0,"-",ROUND(L26*B26/B$83,4))</f>
        <v>8.4699999999999998E-2</v>
      </c>
      <c r="N26" s="425" t="s">
        <v>213</v>
      </c>
      <c r="O26" s="292" t="s">
        <v>341</v>
      </c>
      <c r="U26" s="619">
        <v>600000</v>
      </c>
      <c r="V26" s="619">
        <f>สพญ.!AB48</f>
        <v>321619.57999999996</v>
      </c>
      <c r="W26" s="292" t="s">
        <v>187</v>
      </c>
      <c r="X26" s="495"/>
      <c r="Y26" s="463"/>
      <c r="Z26" s="496"/>
      <c r="AA26" s="617"/>
      <c r="AB26" s="441"/>
      <c r="AC26" s="441"/>
      <c r="AD26" s="447"/>
    </row>
    <row r="27" spans="1:32" ht="25.5" x14ac:dyDescent="0.5">
      <c r="A27" s="309" t="s">
        <v>23</v>
      </c>
      <c r="B27" s="352"/>
      <c r="C27" s="320"/>
      <c r="D27" s="320"/>
      <c r="E27" s="320"/>
      <c r="F27" s="335" t="s">
        <v>70</v>
      </c>
      <c r="G27" s="335" t="s">
        <v>70</v>
      </c>
      <c r="H27" s="569" t="s">
        <v>58</v>
      </c>
      <c r="I27" s="573"/>
      <c r="J27" s="573"/>
      <c r="K27" s="570"/>
      <c r="L27" s="307"/>
      <c r="M27" s="308"/>
      <c r="N27" s="448" t="s">
        <v>199</v>
      </c>
      <c r="O27" s="292" t="s">
        <v>342</v>
      </c>
      <c r="U27" s="619">
        <v>600000</v>
      </c>
      <c r="V27" s="619">
        <f>สพญ.!AB49</f>
        <v>554458.30000000005</v>
      </c>
      <c r="W27" s="292" t="s">
        <v>187</v>
      </c>
      <c r="X27" s="495"/>
      <c r="Y27" s="463"/>
      <c r="Z27" s="496"/>
      <c r="AA27" s="617"/>
      <c r="AB27" s="441"/>
      <c r="AC27" s="441"/>
      <c r="AD27" s="447"/>
    </row>
    <row r="28" spans="1:32" ht="25.5" x14ac:dyDescent="0.5">
      <c r="A28" s="309" t="s">
        <v>24</v>
      </c>
      <c r="B28" s="352"/>
      <c r="C28" s="320"/>
      <c r="D28" s="320"/>
      <c r="E28" s="320"/>
      <c r="F28" s="335" t="s">
        <v>137</v>
      </c>
      <c r="G28" s="335" t="s">
        <v>138</v>
      </c>
      <c r="H28" s="569" t="s">
        <v>147</v>
      </c>
      <c r="I28" s="573"/>
      <c r="J28" s="573"/>
      <c r="K28" s="570"/>
      <c r="L28" s="307"/>
      <c r="M28" s="308"/>
      <c r="N28" s="481" t="s">
        <v>236</v>
      </c>
      <c r="O28" s="292" t="s">
        <v>343</v>
      </c>
      <c r="U28" s="619">
        <v>600000</v>
      </c>
      <c r="V28" s="619">
        <f>สพญ.!AB50</f>
        <v>259920.98</v>
      </c>
      <c r="W28" s="292" t="s">
        <v>187</v>
      </c>
      <c r="X28" s="495"/>
      <c r="Y28" s="463"/>
      <c r="Z28" s="496"/>
      <c r="AA28" s="617"/>
      <c r="AB28" s="441"/>
      <c r="AC28" s="441"/>
    </row>
    <row r="29" spans="1:32" ht="23.25" x14ac:dyDescent="0.35">
      <c r="A29" s="309"/>
      <c r="B29" s="352"/>
      <c r="C29" s="320"/>
      <c r="D29" s="320"/>
      <c r="E29" s="320"/>
      <c r="F29" s="320"/>
      <c r="G29" s="320"/>
      <c r="H29" s="569" t="s">
        <v>180</v>
      </c>
      <c r="I29" s="573"/>
      <c r="J29" s="573"/>
      <c r="K29" s="570"/>
      <c r="L29" s="307"/>
      <c r="M29" s="308"/>
      <c r="O29" s="292">
        <v>25</v>
      </c>
      <c r="P29" s="292">
        <v>1</v>
      </c>
      <c r="T29" s="292" t="s">
        <v>344</v>
      </c>
      <c r="U29" s="619">
        <f>U28+U27+U26</f>
        <v>1800000</v>
      </c>
      <c r="V29" s="619">
        <f>V28+V27+V26</f>
        <v>1135998.8599999999</v>
      </c>
      <c r="W29" s="292" t="s">
        <v>187</v>
      </c>
    </row>
    <row r="30" spans="1:32" ht="23.25" x14ac:dyDescent="0.35">
      <c r="A30" s="309"/>
      <c r="B30" s="352"/>
      <c r="C30" s="320"/>
      <c r="D30" s="320"/>
      <c r="E30" s="320"/>
      <c r="F30" s="320"/>
      <c r="G30" s="311"/>
      <c r="H30" s="569"/>
      <c r="I30" s="323" t="s">
        <v>56</v>
      </c>
      <c r="J30" s="324">
        <f>U30</f>
        <v>63.11104777777777</v>
      </c>
      <c r="K30" s="570" t="s">
        <v>51</v>
      </c>
      <c r="L30" s="307"/>
      <c r="M30" s="308"/>
      <c r="O30" s="540">
        <f>J30-50</f>
        <v>13.11104777777777</v>
      </c>
      <c r="P30" s="292">
        <f>P29*O30/O29</f>
        <v>0.52444191111111083</v>
      </c>
      <c r="U30" s="436">
        <f>V29*100/U29</f>
        <v>63.11104777777777</v>
      </c>
      <c r="V30" s="292" t="s">
        <v>51</v>
      </c>
    </row>
    <row r="31" spans="1:32" ht="23.25" x14ac:dyDescent="0.35">
      <c r="A31" s="309"/>
      <c r="B31" s="352"/>
      <c r="C31" s="320"/>
      <c r="D31" s="320"/>
      <c r="E31" s="320"/>
      <c r="F31" s="320"/>
      <c r="G31" s="320"/>
      <c r="H31" s="333"/>
      <c r="I31" s="306"/>
      <c r="J31" s="306"/>
      <c r="K31" s="312"/>
      <c r="L31" s="307"/>
      <c r="M31" s="308"/>
    </row>
    <row r="32" spans="1:32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0.27779999999999999</v>
      </c>
      <c r="N32" s="425" t="s">
        <v>213</v>
      </c>
      <c r="U32" s="545"/>
    </row>
    <row r="33" spans="1:14" ht="23.25" x14ac:dyDescent="0.35">
      <c r="A33" s="309" t="s">
        <v>28</v>
      </c>
      <c r="B33" s="352"/>
      <c r="C33" s="320"/>
      <c r="D33" s="320"/>
      <c r="E33" s="320"/>
      <c r="F33" s="320"/>
      <c r="G33" s="320"/>
      <c r="H33" s="569" t="s">
        <v>154</v>
      </c>
      <c r="I33" s="573"/>
      <c r="J33" s="573"/>
      <c r="K33" s="570"/>
      <c r="L33" s="307"/>
      <c r="M33" s="308"/>
      <c r="N33" s="448" t="s">
        <v>345</v>
      </c>
    </row>
    <row r="34" spans="1:14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69" t="s">
        <v>64</v>
      </c>
      <c r="I34" s="573"/>
      <c r="J34" s="573"/>
      <c r="K34" s="570"/>
      <c r="L34" s="307"/>
      <c r="M34" s="308"/>
      <c r="N34" s="481" t="s">
        <v>236</v>
      </c>
    </row>
    <row r="35" spans="1:14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346</v>
      </c>
      <c r="K35" s="382"/>
      <c r="L35" s="307"/>
      <c r="M35" s="308"/>
    </row>
    <row r="36" spans="1:14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3</v>
      </c>
      <c r="K36" s="382" t="s">
        <v>61</v>
      </c>
      <c r="L36" s="307"/>
      <c r="M36" s="308"/>
    </row>
    <row r="37" spans="1:14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3</v>
      </c>
      <c r="K37" s="382" t="s">
        <v>61</v>
      </c>
      <c r="L37" s="307"/>
      <c r="M37" s="308"/>
    </row>
    <row r="38" spans="1:14" ht="23.25" x14ac:dyDescent="0.35">
      <c r="A38" s="309"/>
      <c r="B38" s="352"/>
      <c r="C38" s="320"/>
      <c r="D38" s="320"/>
      <c r="E38" s="320"/>
      <c r="F38" s="320"/>
      <c r="G38" s="320"/>
      <c r="H38" s="569"/>
      <c r="I38" s="323" t="s">
        <v>81</v>
      </c>
      <c r="J38" s="334">
        <f>J37*100/J36</f>
        <v>100</v>
      </c>
      <c r="K38" s="570" t="s">
        <v>51</v>
      </c>
      <c r="L38" s="307"/>
      <c r="M38" s="308"/>
    </row>
    <row r="39" spans="1:14" ht="23.25" x14ac:dyDescent="0.35">
      <c r="A39" s="325"/>
      <c r="B39" s="359"/>
      <c r="C39" s="310"/>
      <c r="D39" s="310"/>
      <c r="E39" s="310"/>
      <c r="F39" s="310"/>
      <c r="G39" s="310"/>
      <c r="H39" s="565"/>
      <c r="I39" s="423"/>
      <c r="J39" s="423"/>
      <c r="K39" s="424"/>
      <c r="L39" s="326"/>
      <c r="M39" s="299"/>
    </row>
    <row r="40" spans="1:14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4" t="s">
        <v>152</v>
      </c>
      <c r="I40" s="571"/>
      <c r="J40" s="571"/>
      <c r="K40" s="572"/>
      <c r="L40" s="304">
        <v>1</v>
      </c>
      <c r="M40" s="305">
        <f>IF(L40=0,"-",ROUND(L40*B40/B$83,4))</f>
        <v>5.5599999999999997E-2</v>
      </c>
      <c r="N40" s="425" t="s">
        <v>332</v>
      </c>
    </row>
    <row r="41" spans="1:14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3" t="s">
        <v>153</v>
      </c>
      <c r="I41" s="573"/>
      <c r="J41" s="573"/>
      <c r="K41" s="570"/>
      <c r="L41" s="307"/>
      <c r="M41" s="308"/>
      <c r="N41" s="481" t="s">
        <v>236</v>
      </c>
    </row>
    <row r="42" spans="1:14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3" t="s">
        <v>180</v>
      </c>
      <c r="I42" s="573"/>
      <c r="J42" s="573"/>
      <c r="K42" s="570"/>
      <c r="L42" s="307"/>
      <c r="M42" s="308"/>
    </row>
    <row r="43" spans="1:14" ht="23.25" x14ac:dyDescent="0.35">
      <c r="A43" s="309"/>
      <c r="B43" s="406"/>
      <c r="C43" s="336"/>
      <c r="D43" s="336"/>
      <c r="E43" s="336"/>
      <c r="F43" s="336"/>
      <c r="G43" s="390"/>
      <c r="H43" s="569"/>
      <c r="I43" s="323" t="s">
        <v>56</v>
      </c>
      <c r="J43" s="324">
        <v>50</v>
      </c>
      <c r="K43" s="570" t="s">
        <v>51</v>
      </c>
      <c r="L43" s="307"/>
      <c r="M43" s="308"/>
    </row>
    <row r="44" spans="1:14" ht="23.25" x14ac:dyDescent="0.35">
      <c r="A44" s="325"/>
      <c r="B44" s="359"/>
      <c r="C44" s="310"/>
      <c r="D44" s="310"/>
      <c r="E44" s="310"/>
      <c r="F44" s="310"/>
      <c r="G44" s="310"/>
      <c r="H44" s="565"/>
      <c r="I44" s="566"/>
      <c r="J44" s="566"/>
      <c r="K44" s="567"/>
      <c r="L44" s="326"/>
      <c r="M44" s="299"/>
    </row>
    <row r="45" spans="1:14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4" t="s">
        <v>186</v>
      </c>
      <c r="I45" s="571"/>
      <c r="J45" s="571"/>
      <c r="K45" s="572"/>
      <c r="L45" s="304">
        <v>1</v>
      </c>
      <c r="M45" s="305">
        <f>IF(L45=0,"-",ROUND(L45*B45/B$83,4))</f>
        <v>0.16669999999999999</v>
      </c>
      <c r="N45" s="425" t="s">
        <v>199</v>
      </c>
    </row>
    <row r="46" spans="1:14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69" t="s">
        <v>196</v>
      </c>
      <c r="I46" s="573"/>
      <c r="J46" s="573"/>
      <c r="K46" s="570"/>
      <c r="L46" s="307"/>
      <c r="M46" s="308"/>
      <c r="N46" s="481" t="s">
        <v>236</v>
      </c>
    </row>
    <row r="47" spans="1:14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137680000</v>
      </c>
      <c r="K47" s="570" t="s">
        <v>187</v>
      </c>
      <c r="L47" s="307"/>
      <c r="M47" s="308"/>
    </row>
    <row r="48" spans="1:14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99990000</v>
      </c>
      <c r="K48" s="570" t="s">
        <v>187</v>
      </c>
      <c r="L48" s="307"/>
      <c r="M48" s="308"/>
    </row>
    <row r="49" spans="1:16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72.62492736780942</v>
      </c>
      <c r="K49" s="570" t="s">
        <v>51</v>
      </c>
      <c r="L49" s="307"/>
      <c r="M49" s="308"/>
    </row>
    <row r="50" spans="1:16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6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4" t="s">
        <v>156</v>
      </c>
      <c r="I51" s="571"/>
      <c r="J51" s="571"/>
      <c r="K51" s="572"/>
      <c r="L51" s="304">
        <v>1</v>
      </c>
      <c r="M51" s="305">
        <f>IF(L51=0,"-",ROUND(L51*B51/B$83,4))</f>
        <v>5.5599999999999997E-2</v>
      </c>
    </row>
    <row r="52" spans="1:16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69" t="s">
        <v>104</v>
      </c>
      <c r="I52" s="573"/>
      <c r="J52" s="573"/>
      <c r="K52" s="570"/>
      <c r="L52" s="307"/>
      <c r="M52" s="308"/>
      <c r="N52" s="481" t="s">
        <v>236</v>
      </c>
    </row>
    <row r="53" spans="1:16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69" t="s">
        <v>105</v>
      </c>
      <c r="I53" s="573"/>
      <c r="J53" s="573"/>
      <c r="K53" s="570"/>
      <c r="L53" s="307"/>
      <c r="M53" s="308"/>
    </row>
    <row r="54" spans="1:16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0" t="s">
        <v>51</v>
      </c>
      <c r="L54" s="307"/>
      <c r="M54" s="308"/>
    </row>
    <row r="55" spans="1:16" ht="23.25" x14ac:dyDescent="0.35">
      <c r="A55" s="325"/>
      <c r="B55" s="359"/>
      <c r="C55" s="310"/>
      <c r="D55" s="310"/>
      <c r="E55" s="310"/>
      <c r="F55" s="310"/>
      <c r="G55" s="415"/>
      <c r="H55" s="891" t="s">
        <v>211</v>
      </c>
      <c r="I55" s="892"/>
      <c r="J55" s="892"/>
      <c r="K55" s="893"/>
      <c r="L55" s="326"/>
      <c r="M55" s="299"/>
    </row>
    <row r="56" spans="1:16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4" t="s">
        <v>108</v>
      </c>
      <c r="I56" s="571"/>
      <c r="J56" s="571"/>
      <c r="K56" s="572"/>
      <c r="L56" s="304">
        <v>2</v>
      </c>
      <c r="M56" s="305">
        <f>IF(L56=0,"-",ROUND(L56*B56/B$83,4))</f>
        <v>0.1111</v>
      </c>
      <c r="N56" s="425" t="s">
        <v>332</v>
      </c>
    </row>
    <row r="57" spans="1:16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69" t="s">
        <v>146</v>
      </c>
      <c r="I57" s="573"/>
      <c r="J57" s="573"/>
      <c r="K57" s="570"/>
      <c r="L57" s="307"/>
      <c r="M57" s="308"/>
      <c r="N57" s="481" t="s">
        <v>236</v>
      </c>
    </row>
    <row r="58" spans="1:16" ht="23.25" x14ac:dyDescent="0.35">
      <c r="A58" s="309"/>
      <c r="B58" s="352"/>
      <c r="C58" s="344"/>
      <c r="D58" s="344"/>
      <c r="E58" s="344"/>
      <c r="F58" s="344"/>
      <c r="G58" s="344"/>
      <c r="H58" s="569" t="s">
        <v>110</v>
      </c>
      <c r="I58" s="573"/>
      <c r="J58" s="573"/>
      <c r="K58" s="570"/>
      <c r="L58" s="307"/>
      <c r="M58" s="308"/>
    </row>
    <row r="59" spans="1:16" ht="23.25" x14ac:dyDescent="0.35">
      <c r="A59" s="309"/>
      <c r="B59" s="352"/>
      <c r="C59" s="344"/>
      <c r="D59" s="344"/>
      <c r="E59" s="344"/>
      <c r="F59" s="344"/>
      <c r="G59" s="344"/>
      <c r="H59" s="569" t="s">
        <v>191</v>
      </c>
      <c r="I59" s="573"/>
      <c r="J59" s="573"/>
      <c r="K59" s="570"/>
      <c r="L59" s="307"/>
      <c r="M59" s="308"/>
    </row>
    <row r="60" spans="1:16" ht="23.25" x14ac:dyDescent="0.35">
      <c r="A60" s="309"/>
      <c r="B60" s="352"/>
      <c r="C60" s="344"/>
      <c r="D60" s="344"/>
      <c r="E60" s="344"/>
      <c r="F60" s="344"/>
      <c r="G60" s="344"/>
      <c r="H60" s="569"/>
      <c r="I60" s="323" t="s">
        <v>112</v>
      </c>
      <c r="J60" s="324">
        <v>2</v>
      </c>
      <c r="K60" s="382"/>
      <c r="L60" s="307"/>
      <c r="M60" s="308"/>
    </row>
    <row r="61" spans="1:16" ht="23.25" x14ac:dyDescent="0.35">
      <c r="A61" s="325"/>
      <c r="B61" s="359"/>
      <c r="C61" s="310"/>
      <c r="D61" s="310"/>
      <c r="E61" s="310"/>
      <c r="F61" s="310"/>
      <c r="G61" s="310"/>
      <c r="H61" s="891"/>
      <c r="I61" s="892"/>
      <c r="J61" s="892"/>
      <c r="K61" s="893"/>
      <c r="L61" s="326"/>
      <c r="M61" s="299"/>
    </row>
    <row r="62" spans="1:16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4" t="s">
        <v>123</v>
      </c>
      <c r="I62" s="571"/>
      <c r="J62" s="571"/>
      <c r="K62" s="572"/>
      <c r="L62" s="304">
        <f>4+P63</f>
        <v>5</v>
      </c>
      <c r="M62" s="305">
        <f>IF(L62=0,"-",ROUND(L62*B62/B$83,4))</f>
        <v>0.27779999999999999</v>
      </c>
      <c r="N62" s="425" t="s">
        <v>202</v>
      </c>
      <c r="O62" s="292">
        <v>30</v>
      </c>
      <c r="P62" s="292">
        <v>1</v>
      </c>
    </row>
    <row r="63" spans="1:16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69" t="s">
        <v>124</v>
      </c>
      <c r="I63" s="322"/>
      <c r="J63" s="353"/>
      <c r="K63" s="354"/>
      <c r="L63" s="355"/>
      <c r="M63" s="308"/>
      <c r="N63" s="481" t="s">
        <v>236</v>
      </c>
      <c r="O63" s="542">
        <f>J67-70</f>
        <v>30</v>
      </c>
      <c r="P63" s="292">
        <f>P62*O63/O62</f>
        <v>1</v>
      </c>
    </row>
    <row r="64" spans="1:16" ht="23.25" x14ac:dyDescent="0.35">
      <c r="A64" s="351"/>
      <c r="B64" s="352"/>
      <c r="C64" s="320"/>
      <c r="D64" s="320"/>
      <c r="E64" s="320"/>
      <c r="F64" s="320"/>
      <c r="G64" s="320"/>
      <c r="H64" s="573" t="s">
        <v>125</v>
      </c>
      <c r="I64" s="322"/>
      <c r="J64" s="353"/>
      <c r="K64" s="354"/>
      <c r="L64" s="355"/>
      <c r="M64" s="308"/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69" t="s">
        <v>126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69" t="s">
        <v>127</v>
      </c>
      <c r="I66" s="322"/>
      <c r="J66" s="353"/>
      <c r="K66" s="354"/>
      <c r="L66" s="355"/>
      <c r="M66" s="308"/>
    </row>
    <row r="67" spans="1:14" ht="23.25" x14ac:dyDescent="0.35">
      <c r="A67" s="351"/>
      <c r="B67" s="352"/>
      <c r="C67" s="320"/>
      <c r="D67" s="320"/>
      <c r="E67" s="320"/>
      <c r="F67" s="320"/>
      <c r="G67" s="320"/>
      <c r="H67" s="569"/>
      <c r="I67" s="323" t="s">
        <v>114</v>
      </c>
      <c r="J67" s="408">
        <f>สพญ.!S92</f>
        <v>100</v>
      </c>
      <c r="K67" s="382" t="s">
        <v>51</v>
      </c>
      <c r="L67" s="355"/>
      <c r="M67" s="308"/>
    </row>
    <row r="68" spans="1:14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4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4" t="s">
        <v>157</v>
      </c>
      <c r="I69" s="571"/>
      <c r="J69" s="571"/>
      <c r="K69" s="572"/>
      <c r="L69" s="304">
        <v>5</v>
      </c>
      <c r="M69" s="305">
        <f>IF(L69=0,"-",ROUND(L69*B69/B$83,4))</f>
        <v>0.27779999999999999</v>
      </c>
      <c r="N69" s="425" t="s">
        <v>347</v>
      </c>
    </row>
    <row r="70" spans="1:14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69" t="s">
        <v>158</v>
      </c>
      <c r="I70" s="573"/>
      <c r="J70" s="573"/>
      <c r="K70" s="570"/>
      <c r="L70" s="362"/>
      <c r="M70" s="308"/>
      <c r="N70" s="481" t="s">
        <v>236</v>
      </c>
    </row>
    <row r="71" spans="1:14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69" t="s">
        <v>197</v>
      </c>
      <c r="I71" s="573"/>
      <c r="J71" s="573"/>
      <c r="K71" s="570"/>
      <c r="L71" s="362"/>
      <c r="M71" s="308"/>
    </row>
    <row r="72" spans="1:14" ht="23.25" x14ac:dyDescent="0.35">
      <c r="A72" s="309"/>
      <c r="B72" s="352"/>
      <c r="C72" s="320"/>
      <c r="D72" s="320"/>
      <c r="E72" s="320"/>
      <c r="F72" s="320"/>
      <c r="G72" s="320"/>
      <c r="H72" s="569" t="s">
        <v>120</v>
      </c>
      <c r="I72" s="573"/>
      <c r="J72" s="573"/>
      <c r="K72" s="570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20"/>
      <c r="H73" s="569" t="s">
        <v>194</v>
      </c>
      <c r="I73" s="573"/>
      <c r="J73" s="573"/>
      <c r="K73" s="570"/>
      <c r="L73" s="362"/>
      <c r="M73" s="308"/>
    </row>
    <row r="74" spans="1:14" ht="23.25" x14ac:dyDescent="0.35">
      <c r="A74" s="309"/>
      <c r="B74" s="352"/>
      <c r="C74" s="320"/>
      <c r="D74" s="320"/>
      <c r="E74" s="320"/>
      <c r="F74" s="320"/>
      <c r="G74" s="344"/>
      <c r="H74" s="569" t="s">
        <v>195</v>
      </c>
      <c r="I74" s="345"/>
      <c r="J74" s="408">
        <v>100</v>
      </c>
      <c r="K74" s="413" t="s">
        <v>51</v>
      </c>
      <c r="L74" s="412"/>
      <c r="M74" s="308"/>
    </row>
    <row r="75" spans="1:14" ht="23.25" x14ac:dyDescent="0.35">
      <c r="A75" s="358"/>
      <c r="B75" s="414"/>
      <c r="C75" s="411"/>
      <c r="D75" s="411"/>
      <c r="E75" s="411"/>
      <c r="F75" s="411"/>
      <c r="G75" s="329"/>
      <c r="H75" s="576"/>
      <c r="I75" s="582"/>
      <c r="J75" s="583"/>
      <c r="K75" s="584"/>
      <c r="L75" s="416"/>
      <c r="M75" s="308"/>
    </row>
    <row r="76" spans="1:14" ht="23.25" x14ac:dyDescent="0.35">
      <c r="A76" s="351" t="s">
        <v>324</v>
      </c>
      <c r="B76" s="585">
        <v>4</v>
      </c>
      <c r="C76" s="586">
        <v>0.4</v>
      </c>
      <c r="D76" s="586">
        <v>0.45</v>
      </c>
      <c r="E76" s="586">
        <v>0.5</v>
      </c>
      <c r="F76" s="586">
        <v>0.55000000000000004</v>
      </c>
      <c r="G76" s="586">
        <v>0.6</v>
      </c>
      <c r="H76" s="569" t="s">
        <v>325</v>
      </c>
      <c r="I76" s="345"/>
      <c r="J76" s="587"/>
      <c r="K76" s="588"/>
      <c r="L76" s="355">
        <v>3</v>
      </c>
      <c r="M76" s="305">
        <f>IF(L76=0,"-",ROUND(L76*B76/B$83,4))</f>
        <v>0.16669999999999999</v>
      </c>
      <c r="N76" s="425" t="s">
        <v>332</v>
      </c>
    </row>
    <row r="77" spans="1:14" ht="23.25" x14ac:dyDescent="0.35">
      <c r="A77" s="351" t="s">
        <v>326</v>
      </c>
      <c r="B77" s="406"/>
      <c r="C77" s="311"/>
      <c r="D77" s="311"/>
      <c r="E77" s="311"/>
      <c r="F77" s="311"/>
      <c r="G77" s="333"/>
      <c r="H77" s="569" t="s">
        <v>327</v>
      </c>
      <c r="I77" s="345"/>
      <c r="J77" s="587"/>
      <c r="K77" s="588"/>
      <c r="L77" s="412"/>
      <c r="M77" s="308"/>
      <c r="N77" s="481" t="s">
        <v>236</v>
      </c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69"/>
      <c r="I78" s="345"/>
      <c r="J78" s="587"/>
      <c r="K78" s="588"/>
      <c r="L78" s="412"/>
      <c r="M78" s="308"/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69"/>
      <c r="I79" s="345" t="s">
        <v>174</v>
      </c>
      <c r="J79" s="589">
        <v>50</v>
      </c>
      <c r="K79" s="413" t="s">
        <v>51</v>
      </c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69"/>
      <c r="I81" s="345"/>
      <c r="J81" s="587"/>
      <c r="K81" s="588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6"/>
      <c r="I82" s="345"/>
      <c r="J82" s="587"/>
      <c r="K82" s="584"/>
      <c r="L82" s="412"/>
      <c r="M82" s="308"/>
    </row>
    <row r="83" spans="1:13" ht="26.25" x14ac:dyDescent="0.4">
      <c r="A83" s="363"/>
      <c r="B83" s="409">
        <f>ROUND(SUM(B6:B82),1)</f>
        <v>72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2.9936000000000003</v>
      </c>
    </row>
  </sheetData>
  <mergeCells count="24">
    <mergeCell ref="H21:K21"/>
    <mergeCell ref="H26:K26"/>
    <mergeCell ref="H55:K55"/>
    <mergeCell ref="H61:K61"/>
    <mergeCell ref="H15:K15"/>
    <mergeCell ref="H16:K16"/>
    <mergeCell ref="H18:K18"/>
    <mergeCell ref="H19:K19"/>
    <mergeCell ref="U19:V19"/>
    <mergeCell ref="H20:K20"/>
    <mergeCell ref="U20:V20"/>
    <mergeCell ref="H9:I9"/>
    <mergeCell ref="H10:I10"/>
    <mergeCell ref="H11:I11"/>
    <mergeCell ref="H12:K12"/>
    <mergeCell ref="H13:K13"/>
    <mergeCell ref="H14:K14"/>
    <mergeCell ref="H6:I7"/>
    <mergeCell ref="J6:K6"/>
    <mergeCell ref="A1:M1"/>
    <mergeCell ref="A2:M2"/>
    <mergeCell ref="C4:G4"/>
    <mergeCell ref="H4:K5"/>
    <mergeCell ref="L4:L5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5.140625" style="292" bestFit="1" customWidth="1"/>
    <col min="22" max="22" width="11" style="292" bestFit="1" customWidth="1"/>
    <col min="23" max="23" width="13.85546875" style="292" bestFit="1" customWidth="1"/>
    <col min="24" max="24" width="42.42578125" style="292" bestFit="1" customWidth="1"/>
    <col min="25" max="25" width="11" style="292" bestFit="1" customWidth="1"/>
    <col min="26" max="26" width="9.85546875" style="292" bestFit="1" customWidth="1"/>
    <col min="27" max="30" width="9.140625" style="292"/>
    <col min="31" max="32" width="16.42578125" style="292" bestFit="1" customWidth="1"/>
    <col min="33" max="33" width="13.85546875" style="292" bestFit="1" customWidth="1"/>
    <col min="34" max="16384" width="9.140625" style="292"/>
  </cols>
  <sheetData>
    <row r="1" spans="1:35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35" ht="24" customHeight="1" x14ac:dyDescent="0.4">
      <c r="A2" s="897" t="s">
        <v>394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35" ht="24" customHeight="1" x14ac:dyDescent="0.35">
      <c r="A3" s="293" t="s">
        <v>395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5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35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35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IF(L6=0,"-",ROUND(L6*B6/B$84,4))</f>
        <v>0.26679999999999998</v>
      </c>
    </row>
    <row r="7" spans="1:35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</row>
    <row r="8" spans="1:35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35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35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35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5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O12" s="356"/>
      <c r="P12" s="356"/>
      <c r="Q12" s="356"/>
      <c r="R12" s="356"/>
      <c r="S12" s="356"/>
      <c r="T12" s="356"/>
      <c r="U12" s="568" t="s">
        <v>320</v>
      </c>
      <c r="V12" s="568" t="s">
        <v>238</v>
      </c>
      <c r="W12" s="356"/>
      <c r="X12" s="322"/>
      <c r="Y12" s="322"/>
      <c r="Z12" s="322"/>
      <c r="AA12" s="322"/>
      <c r="AB12" s="322"/>
      <c r="AC12" s="322"/>
      <c r="AD12" s="322"/>
      <c r="AE12" s="322"/>
      <c r="AF12" s="322"/>
      <c r="AG12" s="441"/>
      <c r="AH12" s="441"/>
    </row>
    <row r="13" spans="1:35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1+O18</f>
        <v>1.9769942274767289</v>
      </c>
      <c r="M13" s="305">
        <f>IF(L13=0,"-",ROUND(L13*B13/B$84,4))</f>
        <v>0.32950000000000002</v>
      </c>
      <c r="N13" s="425" t="s">
        <v>199</v>
      </c>
      <c r="O13" s="292" t="s">
        <v>348</v>
      </c>
      <c r="T13" s="720" t="s">
        <v>213</v>
      </c>
      <c r="U13" s="621">
        <f>สพญ.!R12</f>
        <v>32849900</v>
      </c>
      <c r="V13" s="714">
        <f>สพญ.!S12</f>
        <v>74.459999999999994</v>
      </c>
      <c r="W13" s="431" t="s">
        <v>51</v>
      </c>
      <c r="X13" s="6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56"/>
    </row>
    <row r="14" spans="1:35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81" t="s">
        <v>236</v>
      </c>
      <c r="O14" s="292" t="s">
        <v>349</v>
      </c>
      <c r="T14" s="720" t="s">
        <v>213</v>
      </c>
      <c r="U14" s="621">
        <f>สพญ.!R13</f>
        <v>88159600</v>
      </c>
      <c r="V14" s="714">
        <f>สพญ.!S13</f>
        <v>49.62</v>
      </c>
      <c r="W14" s="431" t="s">
        <v>51</v>
      </c>
      <c r="X14" s="622"/>
      <c r="Y14" s="322"/>
      <c r="Z14" s="322"/>
      <c r="AA14" s="322"/>
      <c r="AB14" s="322"/>
      <c r="AC14" s="322"/>
      <c r="AD14" s="322"/>
      <c r="AE14" s="322"/>
      <c r="AF14" s="661"/>
      <c r="AG14" s="322"/>
      <c r="AH14" s="322"/>
      <c r="AI14" s="356"/>
    </row>
    <row r="15" spans="1:35" ht="24" customHeight="1" x14ac:dyDescent="0.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O15" s="292" t="s">
        <v>350</v>
      </c>
      <c r="T15" s="720" t="s">
        <v>213</v>
      </c>
      <c r="U15" s="621">
        <f>สพญ.!R14</f>
        <v>62829593</v>
      </c>
      <c r="V15" s="714">
        <f>สพญ.!S14</f>
        <v>99.85</v>
      </c>
      <c r="W15" s="431" t="s">
        <v>51</v>
      </c>
      <c r="X15" s="622"/>
      <c r="Y15" s="441"/>
      <c r="Z15" s="441"/>
      <c r="AA15" s="441"/>
      <c r="AB15" s="441"/>
      <c r="AC15" s="441"/>
      <c r="AD15" s="657"/>
      <c r="AE15" s="657"/>
      <c r="AF15" s="662"/>
      <c r="AG15" s="662"/>
      <c r="AH15" s="630"/>
      <c r="AI15" s="602"/>
    </row>
    <row r="16" spans="1:35" ht="24" customHeight="1" x14ac:dyDescent="0.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425"/>
      <c r="O16" s="292" t="s">
        <v>351</v>
      </c>
      <c r="T16" s="720" t="s">
        <v>213</v>
      </c>
      <c r="U16" s="621">
        <f>สพญ.!R15</f>
        <v>30132500</v>
      </c>
      <c r="V16" s="714">
        <f>สพญ.!S15</f>
        <v>60.89</v>
      </c>
      <c r="W16" s="431" t="s">
        <v>51</v>
      </c>
      <c r="X16" s="622"/>
      <c r="Y16" s="441"/>
      <c r="Z16" s="441"/>
      <c r="AA16" s="441"/>
      <c r="AB16" s="441"/>
      <c r="AC16" s="441"/>
      <c r="AD16" s="657"/>
      <c r="AE16" s="657"/>
      <c r="AF16" s="662"/>
      <c r="AG16" s="662"/>
      <c r="AH16" s="630"/>
      <c r="AI16" s="602"/>
    </row>
    <row r="17" spans="1:35" ht="24" customHeight="1" x14ac:dyDescent="0.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N17" s="292">
        <v>10</v>
      </c>
      <c r="O17" s="292">
        <v>1</v>
      </c>
      <c r="T17" s="292" t="s">
        <v>344</v>
      </c>
      <c r="U17" s="453">
        <f>U15+U14+U13+U16</f>
        <v>213971593</v>
      </c>
      <c r="V17" s="545"/>
      <c r="X17" s="441"/>
      <c r="Y17" s="441"/>
      <c r="Z17" s="441"/>
      <c r="AA17" s="441"/>
      <c r="AB17" s="441"/>
      <c r="AC17" s="441"/>
      <c r="AD17" s="657"/>
      <c r="AE17" s="657"/>
      <c r="AF17" s="662"/>
      <c r="AG17" s="662"/>
      <c r="AH17" s="630"/>
      <c r="AI17" s="602"/>
    </row>
    <row r="18" spans="1:35" ht="25.5" x14ac:dyDescent="0.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U18</f>
        <v>69.769942274767288</v>
      </c>
      <c r="K18" s="570" t="s">
        <v>51</v>
      </c>
      <c r="L18" s="307"/>
      <c r="M18" s="308"/>
      <c r="N18" s="624">
        <f>J18-60</f>
        <v>9.7699422747672884</v>
      </c>
      <c r="O18" s="292">
        <f>O17*N18/N17</f>
        <v>0.97699422747672882</v>
      </c>
      <c r="U18" s="625">
        <f>((V13*U13)+(V14*U14)+(V15*U15)+(V16*U16))/U17</f>
        <v>69.769942274767288</v>
      </c>
      <c r="V18" s="292" t="s">
        <v>51</v>
      </c>
      <c r="X18" s="441"/>
      <c r="Y18" s="441"/>
      <c r="Z18" s="441"/>
      <c r="AA18" s="441"/>
      <c r="AB18" s="441"/>
      <c r="AC18" s="441"/>
      <c r="AD18" s="657"/>
      <c r="AE18" s="663"/>
      <c r="AF18" s="662"/>
      <c r="AG18" s="662"/>
      <c r="AH18" s="630"/>
      <c r="AI18" s="602"/>
    </row>
    <row r="19" spans="1:35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Y19" s="441"/>
      <c r="Z19" s="441"/>
      <c r="AA19" s="441"/>
      <c r="AB19" s="441"/>
      <c r="AC19" s="441"/>
      <c r="AD19" s="664"/>
      <c r="AE19" s="664"/>
      <c r="AF19" s="664"/>
      <c r="AG19" s="664"/>
      <c r="AH19" s="441"/>
    </row>
    <row r="20" spans="1:35" ht="23.25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895" t="s">
        <v>176</v>
      </c>
      <c r="I20" s="895"/>
      <c r="J20" s="895"/>
      <c r="K20" s="896"/>
      <c r="L20" s="304">
        <v>1</v>
      </c>
      <c r="M20" s="305">
        <f>IF(L20=0,"-",ROUND(L20*B20/B$84,4))</f>
        <v>0.16669999999999999</v>
      </c>
      <c r="N20" s="425" t="s">
        <v>199</v>
      </c>
      <c r="P20" s="436" t="s">
        <v>226</v>
      </c>
      <c r="U20" s="879" t="s">
        <v>320</v>
      </c>
      <c r="V20" s="879"/>
      <c r="W20" s="568" t="s">
        <v>238</v>
      </c>
      <c r="Y20" s="441"/>
      <c r="Z20" s="441"/>
      <c r="AA20" s="441"/>
      <c r="AB20" s="441"/>
      <c r="AC20" s="441"/>
      <c r="AD20" s="657"/>
      <c r="AE20" s="665"/>
      <c r="AF20" s="665"/>
      <c r="AG20" s="657"/>
      <c r="AH20" s="441"/>
    </row>
    <row r="21" spans="1:35" ht="23.25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81" t="s">
        <v>236</v>
      </c>
      <c r="O21" s="437">
        <v>1</v>
      </c>
      <c r="P21" s="438" t="s">
        <v>204</v>
      </c>
      <c r="Q21" s="438"/>
      <c r="R21" s="438"/>
      <c r="S21" s="438"/>
      <c r="T21" s="721" t="s">
        <v>213</v>
      </c>
      <c r="U21" s="925">
        <f>U13</f>
        <v>32849900</v>
      </c>
      <c r="V21" s="926"/>
      <c r="W21" s="626">
        <f>V13</f>
        <v>74.459999999999994</v>
      </c>
      <c r="X21" s="292" t="s">
        <v>221</v>
      </c>
      <c r="Y21" s="441"/>
      <c r="Z21" s="639"/>
      <c r="AA21" s="441"/>
      <c r="AB21" s="441"/>
      <c r="AC21" s="441"/>
      <c r="AD21" s="657"/>
      <c r="AE21" s="666"/>
      <c r="AF21" s="667"/>
      <c r="AG21" s="666"/>
      <c r="AH21" s="322"/>
      <c r="AI21" s="441"/>
    </row>
    <row r="22" spans="1:35" ht="25.5" x14ac:dyDescent="0.5">
      <c r="A22" s="309"/>
      <c r="B22" s="352"/>
      <c r="C22" s="320"/>
      <c r="D22" s="320"/>
      <c r="E22" s="320"/>
      <c r="F22" s="320"/>
      <c r="G22" s="320"/>
      <c r="H22" s="880" t="s">
        <v>83</v>
      </c>
      <c r="I22" s="887"/>
      <c r="J22" s="887"/>
      <c r="K22" s="881"/>
      <c r="L22" s="307"/>
      <c r="M22" s="308"/>
      <c r="O22" s="440">
        <v>2</v>
      </c>
      <c r="P22" s="441" t="s">
        <v>205</v>
      </c>
      <c r="Q22" s="441"/>
      <c r="R22" s="441"/>
      <c r="S22" s="441"/>
      <c r="T22" s="722" t="s">
        <v>213</v>
      </c>
      <c r="U22" s="927">
        <f>U14</f>
        <v>88159600</v>
      </c>
      <c r="V22" s="928"/>
      <c r="W22" s="627">
        <f>V14</f>
        <v>49.62</v>
      </c>
      <c r="Y22" s="441"/>
      <c r="Z22" s="441"/>
      <c r="AA22" s="441"/>
      <c r="AB22" s="441"/>
      <c r="AC22" s="441"/>
      <c r="AD22" s="657"/>
      <c r="AE22" s="668"/>
      <c r="AF22" s="668"/>
      <c r="AG22" s="668"/>
      <c r="AH22" s="630"/>
      <c r="AI22" s="441"/>
    </row>
    <row r="23" spans="1:35" ht="25.5" x14ac:dyDescent="0.5">
      <c r="A23" s="309"/>
      <c r="B23" s="352"/>
      <c r="C23" s="320"/>
      <c r="D23" s="320"/>
      <c r="E23" s="320"/>
      <c r="F23" s="320"/>
      <c r="G23" s="320"/>
      <c r="H23" s="569" t="s">
        <v>172</v>
      </c>
      <c r="I23" s="573"/>
      <c r="J23" s="573"/>
      <c r="K23" s="570"/>
      <c r="L23" s="307"/>
      <c r="M23" s="308"/>
      <c r="O23" s="443">
        <v>3</v>
      </c>
      <c r="P23" s="444" t="s">
        <v>206</v>
      </c>
      <c r="Q23" s="444"/>
      <c r="R23" s="444"/>
      <c r="S23" s="444"/>
      <c r="T23" s="723" t="s">
        <v>213</v>
      </c>
      <c r="U23" s="923">
        <f>U16</f>
        <v>30132500</v>
      </c>
      <c r="V23" s="924"/>
      <c r="W23" s="628">
        <f>V16</f>
        <v>60.89</v>
      </c>
      <c r="Y23" s="441"/>
      <c r="Z23" s="441"/>
      <c r="AA23" s="441"/>
      <c r="AB23" s="441"/>
      <c r="AC23" s="441"/>
      <c r="AD23" s="657"/>
      <c r="AE23" s="668"/>
      <c r="AF23" s="668"/>
      <c r="AG23" s="668"/>
      <c r="AH23" s="630"/>
      <c r="AI23" s="441"/>
    </row>
    <row r="24" spans="1:35" ht="25.5" x14ac:dyDescent="0.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0"/>
      <c r="L24" s="307"/>
      <c r="M24" s="308"/>
      <c r="T24" s="292" t="s">
        <v>20</v>
      </c>
      <c r="U24" s="447">
        <f>SUM(U21:V23)</f>
        <v>151142000</v>
      </c>
      <c r="W24" s="629">
        <f>((U21*W21)+(U22*W22)+(U23*W23))/U24</f>
        <v>57.265689424514697</v>
      </c>
      <c r="X24" s="292" t="s">
        <v>51</v>
      </c>
      <c r="Y24" s="441"/>
      <c r="Z24" s="441"/>
      <c r="AA24" s="441"/>
      <c r="AB24" s="441"/>
      <c r="AC24" s="441"/>
      <c r="AD24" s="657"/>
      <c r="AE24" s="669"/>
      <c r="AF24" s="668"/>
      <c r="AG24" s="668"/>
      <c r="AH24" s="630"/>
      <c r="AI24" s="441"/>
    </row>
    <row r="25" spans="1:35" ht="23.25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W24</f>
        <v>57.265689424514697</v>
      </c>
      <c r="K25" s="570" t="s">
        <v>51</v>
      </c>
      <c r="L25" s="307"/>
      <c r="M25" s="308"/>
      <c r="Y25" s="441"/>
      <c r="Z25" s="441"/>
      <c r="AA25" s="441"/>
      <c r="AB25" s="441"/>
      <c r="AC25" s="441"/>
      <c r="AD25" s="664"/>
      <c r="AE25" s="664"/>
      <c r="AF25" s="664"/>
      <c r="AG25" s="664"/>
      <c r="AH25" s="441"/>
      <c r="AI25" s="441"/>
    </row>
    <row r="26" spans="1:35" ht="23.25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U26" s="433" t="s">
        <v>320</v>
      </c>
      <c r="V26" s="568" t="s">
        <v>330</v>
      </c>
      <c r="X26" s="441"/>
      <c r="Y26" s="441"/>
      <c r="Z26" s="441"/>
      <c r="AA26" s="441"/>
      <c r="AB26" s="441"/>
      <c r="AC26" s="441"/>
      <c r="AD26" s="657"/>
      <c r="AE26" s="657"/>
      <c r="AF26" s="657"/>
      <c r="AG26" s="657"/>
      <c r="AH26" s="441"/>
      <c r="AI26" s="441"/>
    </row>
    <row r="27" spans="1:35" ht="25.5" x14ac:dyDescent="0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894" t="s">
        <v>57</v>
      </c>
      <c r="I27" s="895"/>
      <c r="J27" s="895"/>
      <c r="K27" s="896"/>
      <c r="L27" s="304">
        <f>1+P31</f>
        <v>1.4477753846153845</v>
      </c>
      <c r="M27" s="305">
        <f>IF(L27=0,"-",ROUND(L27*B27/B$84,4))</f>
        <v>8.0399999999999999E-2</v>
      </c>
      <c r="N27" s="425" t="s">
        <v>199</v>
      </c>
      <c r="O27" s="437" t="s">
        <v>352</v>
      </c>
      <c r="P27" s="438"/>
      <c r="Q27" s="438"/>
      <c r="R27" s="438"/>
      <c r="S27" s="438"/>
      <c r="T27" s="721" t="s">
        <v>213</v>
      </c>
      <c r="U27" s="715">
        <v>350000</v>
      </c>
      <c r="V27" s="715">
        <f>สพญ.!AB51</f>
        <v>336956</v>
      </c>
      <c r="W27" s="630" t="s">
        <v>187</v>
      </c>
      <c r="X27" s="631"/>
      <c r="Y27" s="441"/>
      <c r="Z27" s="441"/>
      <c r="AA27" s="441"/>
      <c r="AB27" s="441"/>
      <c r="AC27" s="441"/>
      <c r="AD27" s="657"/>
      <c r="AE27" s="666"/>
      <c r="AF27" s="667"/>
      <c r="AG27" s="666"/>
      <c r="AH27" s="441"/>
      <c r="AI27" s="631"/>
    </row>
    <row r="28" spans="1:35" ht="25.5" x14ac:dyDescent="0.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69" t="s">
        <v>58</v>
      </c>
      <c r="I28" s="573"/>
      <c r="J28" s="573"/>
      <c r="K28" s="570"/>
      <c r="L28" s="307"/>
      <c r="M28" s="308"/>
      <c r="N28" s="481" t="s">
        <v>236</v>
      </c>
      <c r="O28" s="440" t="s">
        <v>353</v>
      </c>
      <c r="P28" s="441"/>
      <c r="Q28" s="441"/>
      <c r="R28" s="441"/>
      <c r="S28" s="441"/>
      <c r="T28" s="722" t="s">
        <v>213</v>
      </c>
      <c r="U28" s="716">
        <v>350000</v>
      </c>
      <c r="V28" s="716">
        <f>สพญ.!AB52</f>
        <v>337789</v>
      </c>
      <c r="W28" s="630" t="s">
        <v>187</v>
      </c>
      <c r="X28" s="463"/>
      <c r="Y28" s="441"/>
      <c r="Z28" s="441"/>
      <c r="AA28" s="441"/>
      <c r="AB28" s="441"/>
      <c r="AC28" s="441"/>
      <c r="AD28" s="657"/>
      <c r="AE28" s="657"/>
      <c r="AF28" s="670"/>
      <c r="AG28" s="670"/>
      <c r="AH28" s="630"/>
      <c r="AI28" s="463"/>
    </row>
    <row r="29" spans="1:35" ht="25.5" x14ac:dyDescent="0.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69" t="s">
        <v>147</v>
      </c>
      <c r="I29" s="573"/>
      <c r="J29" s="573"/>
      <c r="K29" s="570"/>
      <c r="L29" s="307"/>
      <c r="M29" s="308"/>
      <c r="O29" s="443" t="s">
        <v>354</v>
      </c>
      <c r="P29" s="444"/>
      <c r="Q29" s="444"/>
      <c r="R29" s="444"/>
      <c r="S29" s="444"/>
      <c r="T29" s="723" t="s">
        <v>213</v>
      </c>
      <c r="U29" s="717">
        <v>600000</v>
      </c>
      <c r="V29" s="717">
        <f>สพญ.!AB53</f>
        <v>120782</v>
      </c>
      <c r="W29" s="630" t="s">
        <v>187</v>
      </c>
      <c r="X29" s="463"/>
      <c r="Y29" s="441"/>
      <c r="Z29" s="441"/>
      <c r="AA29" s="441"/>
      <c r="AB29" s="441"/>
      <c r="AC29" s="441"/>
      <c r="AD29" s="657"/>
      <c r="AE29" s="657"/>
      <c r="AF29" s="670"/>
      <c r="AG29" s="670"/>
      <c r="AH29" s="630"/>
      <c r="AI29" s="463"/>
    </row>
    <row r="30" spans="1:35" ht="25.5" x14ac:dyDescent="0.5">
      <c r="A30" s="309"/>
      <c r="B30" s="352"/>
      <c r="C30" s="320"/>
      <c r="D30" s="320"/>
      <c r="E30" s="320"/>
      <c r="F30" s="320"/>
      <c r="G30" s="320"/>
      <c r="H30" s="569" t="s">
        <v>180</v>
      </c>
      <c r="I30" s="573"/>
      <c r="J30" s="573"/>
      <c r="K30" s="570"/>
      <c r="L30" s="307"/>
      <c r="M30" s="308"/>
      <c r="O30" s="292">
        <v>25</v>
      </c>
      <c r="P30" s="292">
        <v>1</v>
      </c>
      <c r="T30" s="292" t="s">
        <v>344</v>
      </c>
      <c r="U30" s="447">
        <f>U28+U27+U29</f>
        <v>1300000</v>
      </c>
      <c r="V30" s="447">
        <f>V28+V27+V29</f>
        <v>795527</v>
      </c>
      <c r="Y30" s="441"/>
      <c r="Z30" s="441"/>
      <c r="AA30" s="441"/>
      <c r="AB30" s="441"/>
      <c r="AC30" s="441"/>
      <c r="AD30" s="657"/>
      <c r="AE30" s="657"/>
      <c r="AF30" s="670"/>
      <c r="AG30" s="670"/>
      <c r="AH30" s="630"/>
    </row>
    <row r="31" spans="1:35" ht="23.25" x14ac:dyDescent="0.35">
      <c r="A31" s="309"/>
      <c r="B31" s="352"/>
      <c r="C31" s="320"/>
      <c r="D31" s="320"/>
      <c r="E31" s="320"/>
      <c r="F31" s="320"/>
      <c r="G31" s="311"/>
      <c r="H31" s="569"/>
      <c r="I31" s="323" t="s">
        <v>56</v>
      </c>
      <c r="J31" s="324">
        <f>U31</f>
        <v>61.194384615384614</v>
      </c>
      <c r="K31" s="570" t="s">
        <v>51</v>
      </c>
      <c r="L31" s="307"/>
      <c r="M31" s="308"/>
      <c r="O31" s="540">
        <f>J31-50</f>
        <v>11.194384615384614</v>
      </c>
      <c r="P31" s="724">
        <f>P30*O31/O30</f>
        <v>0.44777538461538458</v>
      </c>
      <c r="U31" s="488">
        <f>V30*100/U30</f>
        <v>61.194384615384614</v>
      </c>
      <c r="V31" s="292" t="s">
        <v>51</v>
      </c>
      <c r="Y31" s="441"/>
      <c r="Z31" s="441"/>
      <c r="AA31" s="441"/>
      <c r="AB31" s="441"/>
      <c r="AC31" s="441"/>
      <c r="AD31" s="664"/>
      <c r="AE31" s="664"/>
      <c r="AF31" s="664"/>
      <c r="AG31" s="664"/>
      <c r="AH31" s="441"/>
    </row>
    <row r="32" spans="1:35" ht="23.25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</row>
    <row r="33" spans="1:16" ht="23.25" x14ac:dyDescent="0.35">
      <c r="A33" s="302" t="s">
        <v>183</v>
      </c>
      <c r="B33" s="403">
        <v>4</v>
      </c>
      <c r="C33" s="332">
        <v>0.8</v>
      </c>
      <c r="D33" s="332">
        <v>0.85</v>
      </c>
      <c r="E33" s="332">
        <v>0.9</v>
      </c>
      <c r="F33" s="332">
        <v>0.95</v>
      </c>
      <c r="G33" s="332">
        <v>1</v>
      </c>
      <c r="H33" s="386" t="s">
        <v>150</v>
      </c>
      <c r="I33" s="387"/>
      <c r="J33" s="387"/>
      <c r="K33" s="388"/>
      <c r="L33" s="304">
        <v>5</v>
      </c>
      <c r="M33" s="305">
        <f>IF(L33=0,"-",ROUND(L33*B33/B$84,4))</f>
        <v>0.27779999999999999</v>
      </c>
      <c r="N33" s="425" t="s">
        <v>201</v>
      </c>
      <c r="O33" s="292">
        <v>5</v>
      </c>
      <c r="P33" s="292">
        <v>1</v>
      </c>
    </row>
    <row r="34" spans="1:16" ht="23.25" x14ac:dyDescent="0.35">
      <c r="A34" s="309" t="s">
        <v>28</v>
      </c>
      <c r="B34" s="352"/>
      <c r="C34" s="320"/>
      <c r="D34" s="320"/>
      <c r="E34" s="320"/>
      <c r="F34" s="320"/>
      <c r="G34" s="320"/>
      <c r="H34" s="569" t="s">
        <v>154</v>
      </c>
      <c r="I34" s="573"/>
      <c r="J34" s="573"/>
      <c r="K34" s="570"/>
      <c r="L34" s="307"/>
      <c r="M34" s="308"/>
      <c r="N34" s="481" t="s">
        <v>236</v>
      </c>
      <c r="O34" s="633">
        <f>J40-85</f>
        <v>15</v>
      </c>
      <c r="P34" s="292">
        <f>P33*O34/O33</f>
        <v>3</v>
      </c>
    </row>
    <row r="35" spans="1:16" ht="23.25" x14ac:dyDescent="0.35">
      <c r="A35" s="309" t="s">
        <v>60</v>
      </c>
      <c r="B35" s="352"/>
      <c r="C35" s="320"/>
      <c r="D35" s="320"/>
      <c r="E35" s="320"/>
      <c r="F35" s="320"/>
      <c r="G35" s="320"/>
      <c r="H35" s="569" t="s">
        <v>64</v>
      </c>
      <c r="I35" s="573"/>
      <c r="J35" s="573"/>
      <c r="K35" s="570"/>
      <c r="L35" s="307"/>
      <c r="M35" s="308"/>
    </row>
    <row r="36" spans="1:16" ht="23.25" x14ac:dyDescent="0.35">
      <c r="A36" s="309"/>
      <c r="B36" s="352"/>
      <c r="C36" s="320"/>
      <c r="D36" s="320"/>
      <c r="E36" s="320"/>
      <c r="F36" s="320"/>
      <c r="G36" s="320"/>
      <c r="H36" s="380" t="s">
        <v>180</v>
      </c>
      <c r="I36" s="323"/>
      <c r="J36" s="322"/>
      <c r="K36" s="382"/>
      <c r="L36" s="307"/>
      <c r="M36" s="308"/>
    </row>
    <row r="37" spans="1:16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66</v>
      </c>
      <c r="J37" s="334">
        <v>6</v>
      </c>
      <c r="K37" s="382" t="s">
        <v>321</v>
      </c>
      <c r="L37" s="307"/>
      <c r="M37" s="308"/>
    </row>
    <row r="38" spans="1:16" ht="23.25" x14ac:dyDescent="0.35">
      <c r="A38" s="309"/>
      <c r="B38" s="352"/>
      <c r="C38" s="320"/>
      <c r="D38" s="320"/>
      <c r="E38" s="320"/>
      <c r="F38" s="320"/>
      <c r="G38" s="320"/>
      <c r="H38" s="380"/>
      <c r="I38" s="323" t="s">
        <v>299</v>
      </c>
      <c r="J38" s="334">
        <v>2</v>
      </c>
      <c r="K38" s="382" t="s">
        <v>321</v>
      </c>
      <c r="L38" s="307"/>
      <c r="M38" s="308"/>
    </row>
    <row r="39" spans="1:16" ht="23.25" x14ac:dyDescent="0.35">
      <c r="A39" s="309"/>
      <c r="B39" s="352"/>
      <c r="C39" s="320"/>
      <c r="D39" s="320"/>
      <c r="E39" s="320"/>
      <c r="F39" s="320"/>
      <c r="G39" s="320"/>
      <c r="H39" s="569"/>
      <c r="I39" s="323" t="s">
        <v>67</v>
      </c>
      <c r="J39" s="334">
        <v>8</v>
      </c>
      <c r="K39" s="382" t="s">
        <v>61</v>
      </c>
      <c r="L39" s="307"/>
      <c r="M39" s="308"/>
    </row>
    <row r="40" spans="1:16" ht="23.25" x14ac:dyDescent="0.35">
      <c r="A40" s="325"/>
      <c r="B40" s="359"/>
      <c r="C40" s="310"/>
      <c r="D40" s="310"/>
      <c r="E40" s="310"/>
      <c r="F40" s="310"/>
      <c r="G40" s="310"/>
      <c r="H40" s="565"/>
      <c r="I40" s="323" t="s">
        <v>81</v>
      </c>
      <c r="J40" s="516">
        <f>J39*100/(J37+J38)</f>
        <v>100</v>
      </c>
      <c r="K40" s="570" t="s">
        <v>51</v>
      </c>
      <c r="L40" s="326"/>
      <c r="M40" s="299"/>
    </row>
    <row r="41" spans="1:16" ht="23.25" x14ac:dyDescent="0.35">
      <c r="A41" s="302" t="s">
        <v>184</v>
      </c>
      <c r="B41" s="403">
        <v>4</v>
      </c>
      <c r="C41" s="332">
        <v>0.5</v>
      </c>
      <c r="D41" s="332">
        <v>0.75</v>
      </c>
      <c r="E41" s="332">
        <v>1</v>
      </c>
      <c r="F41" s="332">
        <v>1</v>
      </c>
      <c r="G41" s="332">
        <v>1</v>
      </c>
      <c r="H41" s="574" t="s">
        <v>152</v>
      </c>
      <c r="I41" s="571"/>
      <c r="J41" s="571"/>
      <c r="K41" s="572"/>
      <c r="L41" s="304">
        <v>5</v>
      </c>
      <c r="M41" s="305">
        <f>IF(L41=0,"-",ROUND(L41*B41/B$84,4))</f>
        <v>0.27779999999999999</v>
      </c>
      <c r="N41" s="425" t="s">
        <v>332</v>
      </c>
    </row>
    <row r="42" spans="1:16" ht="23.25" x14ac:dyDescent="0.35">
      <c r="A42" s="309" t="s">
        <v>151</v>
      </c>
      <c r="B42" s="406"/>
      <c r="C42" s="335"/>
      <c r="D42" s="335"/>
      <c r="E42" s="335"/>
      <c r="F42" s="335" t="s">
        <v>70</v>
      </c>
      <c r="G42" s="335" t="s">
        <v>70</v>
      </c>
      <c r="H42" s="573" t="s">
        <v>153</v>
      </c>
      <c r="I42" s="573"/>
      <c r="J42" s="573"/>
      <c r="K42" s="570"/>
      <c r="L42" s="307"/>
      <c r="M42" s="308"/>
      <c r="N42" s="481" t="s">
        <v>236</v>
      </c>
    </row>
    <row r="43" spans="1:16" ht="23.25" x14ac:dyDescent="0.35">
      <c r="A43" s="309"/>
      <c r="B43" s="406"/>
      <c r="C43" s="335"/>
      <c r="D43" s="335"/>
      <c r="E43" s="335"/>
      <c r="F43" s="335" t="s">
        <v>137</v>
      </c>
      <c r="G43" s="335" t="s">
        <v>138</v>
      </c>
      <c r="H43" s="573" t="s">
        <v>180</v>
      </c>
      <c r="I43" s="573"/>
      <c r="J43" s="573"/>
      <c r="K43" s="570"/>
      <c r="L43" s="307"/>
      <c r="M43" s="308"/>
    </row>
    <row r="44" spans="1:16" ht="23.25" x14ac:dyDescent="0.35">
      <c r="A44" s="309"/>
      <c r="B44" s="406"/>
      <c r="C44" s="336"/>
      <c r="D44" s="336"/>
      <c r="E44" s="336"/>
      <c r="F44" s="336"/>
      <c r="G44" s="390"/>
      <c r="H44" s="569"/>
      <c r="I44" s="323" t="s">
        <v>56</v>
      </c>
      <c r="J44" s="324">
        <v>100</v>
      </c>
      <c r="K44" s="570" t="s">
        <v>51</v>
      </c>
      <c r="L44" s="307"/>
      <c r="M44" s="308"/>
    </row>
    <row r="45" spans="1:16" ht="23.25" x14ac:dyDescent="0.35">
      <c r="A45" s="325"/>
      <c r="B45" s="359"/>
      <c r="C45" s="310"/>
      <c r="D45" s="310"/>
      <c r="E45" s="310"/>
      <c r="F45" s="310"/>
      <c r="G45" s="310"/>
      <c r="H45" s="565"/>
      <c r="I45" s="566"/>
      <c r="J45" s="566"/>
      <c r="K45" s="567"/>
      <c r="L45" s="326"/>
      <c r="M45" s="299"/>
    </row>
    <row r="46" spans="1:16" ht="23.25" x14ac:dyDescent="0.35">
      <c r="A46" s="302" t="s">
        <v>185</v>
      </c>
      <c r="B46" s="403">
        <v>12</v>
      </c>
      <c r="C46" s="332">
        <v>0.78</v>
      </c>
      <c r="D46" s="332">
        <v>0.81</v>
      </c>
      <c r="E46" s="332">
        <v>0.84</v>
      </c>
      <c r="F46" s="332">
        <v>0.87</v>
      </c>
      <c r="G46" s="332">
        <v>0.9</v>
      </c>
      <c r="H46" s="574" t="s">
        <v>186</v>
      </c>
      <c r="I46" s="571"/>
      <c r="J46" s="571"/>
      <c r="K46" s="572"/>
      <c r="L46" s="304">
        <v>1</v>
      </c>
      <c r="M46" s="305">
        <f>IF(L46=0,"-",ROUND(L46*B46/B$84,4))</f>
        <v>0.16669999999999999</v>
      </c>
      <c r="N46" s="425" t="s">
        <v>199</v>
      </c>
    </row>
    <row r="47" spans="1:16" ht="23.25" x14ac:dyDescent="0.35">
      <c r="A47" s="309" t="s">
        <v>85</v>
      </c>
      <c r="B47" s="352"/>
      <c r="C47" s="320"/>
      <c r="D47" s="320"/>
      <c r="E47" s="320"/>
      <c r="F47" s="320"/>
      <c r="G47" s="320"/>
      <c r="H47" s="569" t="s">
        <v>196</v>
      </c>
      <c r="I47" s="573"/>
      <c r="J47" s="573"/>
      <c r="K47" s="570"/>
      <c r="L47" s="307"/>
      <c r="M47" s="308"/>
      <c r="N47" s="481" t="s">
        <v>236</v>
      </c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27"/>
      <c r="I48" s="327" t="s">
        <v>87</v>
      </c>
      <c r="J48" s="429">
        <v>344710000</v>
      </c>
      <c r="K48" s="570" t="s">
        <v>187</v>
      </c>
      <c r="L48" s="307"/>
      <c r="M48" s="308"/>
    </row>
    <row r="49" spans="1:16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188</v>
      </c>
      <c r="J49" s="430">
        <v>151030000</v>
      </c>
      <c r="K49" s="570" t="s">
        <v>187</v>
      </c>
      <c r="L49" s="307"/>
      <c r="M49" s="308"/>
    </row>
    <row r="50" spans="1:16" ht="23.25" x14ac:dyDescent="0.35">
      <c r="A50" s="309"/>
      <c r="B50" s="352"/>
      <c r="C50" s="320"/>
      <c r="D50" s="320"/>
      <c r="E50" s="320"/>
      <c r="F50" s="320"/>
      <c r="G50" s="320"/>
      <c r="H50" s="327"/>
      <c r="I50" s="323" t="s">
        <v>189</v>
      </c>
      <c r="J50" s="426">
        <f>J49*100/J48</f>
        <v>43.813640451393923</v>
      </c>
      <c r="K50" s="570" t="s">
        <v>51</v>
      </c>
      <c r="L50" s="307"/>
      <c r="M50" s="308"/>
    </row>
    <row r="51" spans="1:16" ht="23.25" x14ac:dyDescent="0.35">
      <c r="A51" s="325"/>
      <c r="B51" s="359"/>
      <c r="C51" s="310"/>
      <c r="D51" s="310"/>
      <c r="E51" s="310"/>
      <c r="F51" s="310"/>
      <c r="G51" s="310"/>
      <c r="H51" s="337"/>
      <c r="I51" s="423"/>
      <c r="J51" s="338"/>
      <c r="K51" s="424"/>
      <c r="L51" s="326"/>
      <c r="M51" s="299"/>
    </row>
    <row r="52" spans="1:16" ht="23.25" x14ac:dyDescent="0.35">
      <c r="A52" s="339" t="s">
        <v>190</v>
      </c>
      <c r="B52" s="407">
        <v>4</v>
      </c>
      <c r="C52" s="340">
        <v>0.65</v>
      </c>
      <c r="D52" s="340">
        <v>0.7</v>
      </c>
      <c r="E52" s="340">
        <v>0.75</v>
      </c>
      <c r="F52" s="340">
        <v>0.8</v>
      </c>
      <c r="G52" s="340">
        <v>0.85</v>
      </c>
      <c r="H52" s="574" t="s">
        <v>156</v>
      </c>
      <c r="I52" s="571"/>
      <c r="J52" s="571"/>
      <c r="K52" s="572"/>
      <c r="L52" s="304">
        <v>1</v>
      </c>
      <c r="M52" s="305">
        <f>IF(L52=0,"-",ROUND(L52*B52/B$84,4))</f>
        <v>5.5599999999999997E-2</v>
      </c>
      <c r="N52" s="425" t="s">
        <v>337</v>
      </c>
    </row>
    <row r="53" spans="1:16" ht="23.25" x14ac:dyDescent="0.35">
      <c r="A53" s="309" t="s">
        <v>145</v>
      </c>
      <c r="B53" s="352"/>
      <c r="C53" s="320"/>
      <c r="D53" s="320"/>
      <c r="E53" s="320"/>
      <c r="F53" s="320"/>
      <c r="G53" s="320"/>
      <c r="H53" s="569" t="s">
        <v>104</v>
      </c>
      <c r="I53" s="573"/>
      <c r="J53" s="573"/>
      <c r="K53" s="570"/>
      <c r="L53" s="307"/>
      <c r="M53" s="308"/>
      <c r="N53" s="481" t="s">
        <v>236</v>
      </c>
    </row>
    <row r="54" spans="1:16" ht="23.25" x14ac:dyDescent="0.35">
      <c r="A54" s="389" t="s">
        <v>155</v>
      </c>
      <c r="B54" s="352"/>
      <c r="C54" s="320"/>
      <c r="D54" s="320"/>
      <c r="E54" s="320"/>
      <c r="F54" s="320"/>
      <c r="G54" s="320"/>
      <c r="H54" s="569" t="s">
        <v>105</v>
      </c>
      <c r="I54" s="573"/>
      <c r="J54" s="573"/>
      <c r="K54" s="570"/>
      <c r="L54" s="307"/>
      <c r="M54" s="308"/>
    </row>
    <row r="55" spans="1:16" ht="23.25" x14ac:dyDescent="0.35">
      <c r="A55" s="309"/>
      <c r="B55" s="352"/>
      <c r="C55" s="320"/>
      <c r="D55" s="320"/>
      <c r="E55" s="320"/>
      <c r="F55" s="320"/>
      <c r="G55" s="320"/>
      <c r="H55" s="341"/>
      <c r="I55" s="342" t="s">
        <v>113</v>
      </c>
      <c r="J55" s="343" t="s">
        <v>11</v>
      </c>
      <c r="K55" s="570" t="s">
        <v>51</v>
      </c>
      <c r="L55" s="307"/>
      <c r="M55" s="308"/>
    </row>
    <row r="56" spans="1:16" ht="23.25" x14ac:dyDescent="0.35">
      <c r="A56" s="325"/>
      <c r="B56" s="359"/>
      <c r="C56" s="310"/>
      <c r="D56" s="310"/>
      <c r="E56" s="310"/>
      <c r="F56" s="310"/>
      <c r="G56" s="415"/>
      <c r="H56" s="891" t="s">
        <v>211</v>
      </c>
      <c r="I56" s="892"/>
      <c r="J56" s="892"/>
      <c r="K56" s="893"/>
      <c r="L56" s="326"/>
      <c r="M56" s="299"/>
    </row>
    <row r="57" spans="1:16" ht="23.25" x14ac:dyDescent="0.35">
      <c r="A57" s="302" t="s">
        <v>106</v>
      </c>
      <c r="B57" s="407">
        <v>4</v>
      </c>
      <c r="C57" s="346" t="s">
        <v>29</v>
      </c>
      <c r="D57" s="346" t="s">
        <v>30</v>
      </c>
      <c r="E57" s="346" t="s">
        <v>31</v>
      </c>
      <c r="F57" s="346" t="s">
        <v>32</v>
      </c>
      <c r="G57" s="346" t="s">
        <v>33</v>
      </c>
      <c r="H57" s="574" t="s">
        <v>108</v>
      </c>
      <c r="I57" s="571"/>
      <c r="J57" s="571"/>
      <c r="K57" s="572"/>
      <c r="L57" s="304">
        <v>2</v>
      </c>
      <c r="M57" s="305">
        <f>IF(L57=0,"-",ROUND(L57*B57/B$84,4))</f>
        <v>0.1111</v>
      </c>
      <c r="N57" s="425" t="s">
        <v>332</v>
      </c>
    </row>
    <row r="58" spans="1:16" ht="23.25" x14ac:dyDescent="0.35">
      <c r="A58" s="309" t="s">
        <v>107</v>
      </c>
      <c r="B58" s="352"/>
      <c r="C58" s="348">
        <v>1.5</v>
      </c>
      <c r="D58" s="348">
        <v>2</v>
      </c>
      <c r="E58" s="348">
        <v>2.5</v>
      </c>
      <c r="F58" s="348">
        <v>3</v>
      </c>
      <c r="G58" s="348">
        <v>5</v>
      </c>
      <c r="H58" s="569" t="s">
        <v>146</v>
      </c>
      <c r="I58" s="573"/>
      <c r="J58" s="573"/>
      <c r="K58" s="570"/>
      <c r="L58" s="307"/>
      <c r="M58" s="308"/>
      <c r="N58" s="481" t="s">
        <v>236</v>
      </c>
    </row>
    <row r="59" spans="1:16" ht="23.25" x14ac:dyDescent="0.35">
      <c r="A59" s="309"/>
      <c r="B59" s="352"/>
      <c r="C59" s="344"/>
      <c r="D59" s="344"/>
      <c r="E59" s="344"/>
      <c r="F59" s="344"/>
      <c r="G59" s="344"/>
      <c r="H59" s="569" t="s">
        <v>110</v>
      </c>
      <c r="I59" s="573"/>
      <c r="J59" s="573"/>
      <c r="K59" s="570"/>
      <c r="L59" s="307"/>
      <c r="M59" s="308"/>
    </row>
    <row r="60" spans="1:16" ht="23.25" x14ac:dyDescent="0.35">
      <c r="A60" s="309"/>
      <c r="B60" s="352"/>
      <c r="C60" s="344"/>
      <c r="D60" s="344"/>
      <c r="E60" s="344"/>
      <c r="F60" s="344"/>
      <c r="G60" s="344"/>
      <c r="H60" s="569" t="s">
        <v>191</v>
      </c>
      <c r="I60" s="573"/>
      <c r="J60" s="573"/>
      <c r="K60" s="570"/>
      <c r="L60" s="307"/>
      <c r="M60" s="308"/>
    </row>
    <row r="61" spans="1:16" ht="23.25" x14ac:dyDescent="0.35">
      <c r="A61" s="309"/>
      <c r="B61" s="352"/>
      <c r="C61" s="344"/>
      <c r="D61" s="344"/>
      <c r="E61" s="344"/>
      <c r="F61" s="344"/>
      <c r="G61" s="344"/>
      <c r="H61" s="569"/>
      <c r="I61" s="323" t="s">
        <v>112</v>
      </c>
      <c r="J61" s="324">
        <v>2</v>
      </c>
      <c r="K61" s="382"/>
      <c r="L61" s="307"/>
      <c r="M61" s="308"/>
    </row>
    <row r="62" spans="1:16" ht="23.25" x14ac:dyDescent="0.35">
      <c r="A62" s="325"/>
      <c r="B62" s="359"/>
      <c r="C62" s="310"/>
      <c r="D62" s="310"/>
      <c r="E62" s="310"/>
      <c r="F62" s="310"/>
      <c r="G62" s="310"/>
      <c r="H62" s="891"/>
      <c r="I62" s="892"/>
      <c r="J62" s="892"/>
      <c r="K62" s="893"/>
      <c r="L62" s="326"/>
      <c r="M62" s="299"/>
    </row>
    <row r="63" spans="1:16" ht="23.25" x14ac:dyDescent="0.35">
      <c r="A63" s="350" t="s">
        <v>132</v>
      </c>
      <c r="B63" s="407">
        <v>4</v>
      </c>
      <c r="C63" s="340">
        <v>0.1</v>
      </c>
      <c r="D63" s="340">
        <v>0.3</v>
      </c>
      <c r="E63" s="340">
        <v>0.5</v>
      </c>
      <c r="F63" s="340">
        <v>0.7</v>
      </c>
      <c r="G63" s="340">
        <v>1</v>
      </c>
      <c r="H63" s="574" t="s">
        <v>123</v>
      </c>
      <c r="I63" s="571"/>
      <c r="J63" s="571"/>
      <c r="K63" s="572"/>
      <c r="L63" s="304">
        <f>4+P64</f>
        <v>5</v>
      </c>
      <c r="M63" s="305">
        <f>IF(L63=0,"-",ROUND(L63*B63/B$84,4))</f>
        <v>0.27779999999999999</v>
      </c>
      <c r="N63" s="425" t="s">
        <v>202</v>
      </c>
      <c r="O63" s="292">
        <v>30</v>
      </c>
      <c r="P63" s="292">
        <v>1</v>
      </c>
    </row>
    <row r="64" spans="1:16" ht="23.25" x14ac:dyDescent="0.35">
      <c r="A64" s="351" t="s">
        <v>192</v>
      </c>
      <c r="B64" s="352"/>
      <c r="C64" s="320"/>
      <c r="D64" s="320"/>
      <c r="E64" s="320"/>
      <c r="F64" s="320"/>
      <c r="G64" s="311"/>
      <c r="H64" s="569" t="s">
        <v>124</v>
      </c>
      <c r="I64" s="322"/>
      <c r="J64" s="353"/>
      <c r="K64" s="354"/>
      <c r="L64" s="355"/>
      <c r="M64" s="308"/>
      <c r="N64" s="481" t="s">
        <v>236</v>
      </c>
      <c r="O64" s="540">
        <f>J68-70</f>
        <v>30</v>
      </c>
      <c r="P64" s="292">
        <f>P63*O64/O63</f>
        <v>1</v>
      </c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73" t="s">
        <v>125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69" t="s">
        <v>126</v>
      </c>
      <c r="I66" s="322"/>
      <c r="J66" s="353"/>
      <c r="K66" s="354"/>
      <c r="L66" s="355"/>
      <c r="M66" s="308"/>
    </row>
    <row r="67" spans="1:14" ht="23.25" x14ac:dyDescent="0.35">
      <c r="A67" s="351"/>
      <c r="B67" s="352"/>
      <c r="C67" s="320"/>
      <c r="D67" s="320"/>
      <c r="E67" s="320"/>
      <c r="F67" s="320"/>
      <c r="G67" s="320"/>
      <c r="H67" s="569" t="s">
        <v>127</v>
      </c>
      <c r="I67" s="322"/>
      <c r="J67" s="353"/>
      <c r="K67" s="354"/>
      <c r="L67" s="355"/>
      <c r="M67" s="308"/>
    </row>
    <row r="68" spans="1:14" ht="23.25" x14ac:dyDescent="0.35">
      <c r="A68" s="351"/>
      <c r="B68" s="352"/>
      <c r="C68" s="320"/>
      <c r="D68" s="320"/>
      <c r="E68" s="320"/>
      <c r="F68" s="320"/>
      <c r="G68" s="320"/>
      <c r="H68" s="569"/>
      <c r="I68" s="323" t="s">
        <v>114</v>
      </c>
      <c r="J68" s="408">
        <f>สพญ.!S93</f>
        <v>100</v>
      </c>
      <c r="K68" s="382" t="s">
        <v>51</v>
      </c>
      <c r="L68" s="355"/>
      <c r="M68" s="308"/>
    </row>
    <row r="69" spans="1:14" ht="23.25" x14ac:dyDescent="0.35">
      <c r="A69" s="358"/>
      <c r="B69" s="359"/>
      <c r="C69" s="310"/>
      <c r="D69" s="310"/>
      <c r="E69" s="310"/>
      <c r="F69" s="310"/>
      <c r="G69" s="310"/>
      <c r="H69" s="330"/>
      <c r="I69" s="423"/>
      <c r="J69" s="423"/>
      <c r="K69" s="424"/>
      <c r="L69" s="360"/>
      <c r="M69" s="299"/>
    </row>
    <row r="70" spans="1:14" ht="23.25" x14ac:dyDescent="0.35">
      <c r="A70" s="302" t="s">
        <v>115</v>
      </c>
      <c r="B70" s="407">
        <v>4</v>
      </c>
      <c r="C70" s="361">
        <v>0.8</v>
      </c>
      <c r="D70" s="361">
        <v>0.85</v>
      </c>
      <c r="E70" s="361">
        <v>0.9</v>
      </c>
      <c r="F70" s="361">
        <v>0.95</v>
      </c>
      <c r="G70" s="361">
        <v>1</v>
      </c>
      <c r="H70" s="574" t="s">
        <v>157</v>
      </c>
      <c r="I70" s="571"/>
      <c r="J70" s="571"/>
      <c r="K70" s="572"/>
      <c r="L70" s="304">
        <v>5</v>
      </c>
      <c r="M70" s="305">
        <f>IF(L70=0,"-",ROUND(L70*B70/B$84,4))</f>
        <v>0.27779999999999999</v>
      </c>
      <c r="N70" s="425" t="s">
        <v>347</v>
      </c>
    </row>
    <row r="71" spans="1:14" ht="23.25" x14ac:dyDescent="0.35">
      <c r="A71" s="309" t="s">
        <v>116</v>
      </c>
      <c r="B71" s="352"/>
      <c r="C71" s="348"/>
      <c r="D71" s="348"/>
      <c r="E71" s="348"/>
      <c r="F71" s="348"/>
      <c r="G71" s="348"/>
      <c r="H71" s="569" t="s">
        <v>158</v>
      </c>
      <c r="I71" s="573"/>
      <c r="J71" s="573"/>
      <c r="K71" s="570"/>
      <c r="L71" s="362"/>
      <c r="M71" s="308"/>
      <c r="N71" s="481" t="s">
        <v>236</v>
      </c>
    </row>
    <row r="72" spans="1:14" ht="23.25" x14ac:dyDescent="0.35">
      <c r="A72" s="309" t="s">
        <v>193</v>
      </c>
      <c r="B72" s="352"/>
      <c r="C72" s="320"/>
      <c r="D72" s="320"/>
      <c r="E72" s="320"/>
      <c r="F72" s="320"/>
      <c r="G72" s="320"/>
      <c r="H72" s="569" t="s">
        <v>197</v>
      </c>
      <c r="I72" s="573"/>
      <c r="J72" s="573"/>
      <c r="K72" s="570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20"/>
      <c r="H73" s="569" t="s">
        <v>120</v>
      </c>
      <c r="I73" s="573"/>
      <c r="J73" s="573"/>
      <c r="K73" s="570"/>
      <c r="L73" s="362"/>
      <c r="M73" s="308"/>
    </row>
    <row r="74" spans="1:14" ht="23.25" x14ac:dyDescent="0.35">
      <c r="A74" s="309"/>
      <c r="B74" s="352"/>
      <c r="C74" s="320"/>
      <c r="D74" s="320"/>
      <c r="E74" s="320"/>
      <c r="F74" s="320"/>
      <c r="G74" s="320"/>
      <c r="H74" s="569" t="s">
        <v>194</v>
      </c>
      <c r="I74" s="573"/>
      <c r="J74" s="573"/>
      <c r="K74" s="570"/>
      <c r="L74" s="362"/>
      <c r="M74" s="308"/>
    </row>
    <row r="75" spans="1:14" ht="23.25" x14ac:dyDescent="0.35">
      <c r="A75" s="309"/>
      <c r="B75" s="352"/>
      <c r="C75" s="320"/>
      <c r="D75" s="320"/>
      <c r="E75" s="320"/>
      <c r="F75" s="320"/>
      <c r="G75" s="344"/>
      <c r="H75" s="569" t="s">
        <v>195</v>
      </c>
      <c r="I75" s="345"/>
      <c r="J75" s="408">
        <v>100</v>
      </c>
      <c r="K75" s="413" t="s">
        <v>51</v>
      </c>
      <c r="L75" s="412"/>
      <c r="M75" s="308"/>
    </row>
    <row r="76" spans="1:14" ht="23.25" x14ac:dyDescent="0.35">
      <c r="A76" s="358"/>
      <c r="B76" s="414"/>
      <c r="C76" s="411"/>
      <c r="D76" s="411"/>
      <c r="E76" s="411"/>
      <c r="F76" s="411"/>
      <c r="G76" s="329"/>
      <c r="H76" s="576"/>
      <c r="I76" s="582"/>
      <c r="J76" s="583"/>
      <c r="K76" s="584"/>
      <c r="L76" s="416"/>
      <c r="M76" s="308"/>
    </row>
    <row r="77" spans="1:14" ht="23.25" x14ac:dyDescent="0.35">
      <c r="A77" s="351" t="s">
        <v>324</v>
      </c>
      <c r="B77" s="585">
        <v>4</v>
      </c>
      <c r="C77" s="586">
        <v>0.4</v>
      </c>
      <c r="D77" s="586">
        <v>0.45</v>
      </c>
      <c r="E77" s="586">
        <v>0.5</v>
      </c>
      <c r="F77" s="586">
        <v>0.55000000000000004</v>
      </c>
      <c r="G77" s="586">
        <v>0.6</v>
      </c>
      <c r="H77" s="569" t="s">
        <v>325</v>
      </c>
      <c r="I77" s="345"/>
      <c r="J77" s="587"/>
      <c r="K77" s="588"/>
      <c r="L77" s="412">
        <v>4</v>
      </c>
      <c r="M77" s="305">
        <f>IF(L77=0,"-",ROUND(L77*B77/B$84,4))</f>
        <v>0.22220000000000001</v>
      </c>
      <c r="N77" s="425" t="s">
        <v>332</v>
      </c>
    </row>
    <row r="78" spans="1:14" ht="23.25" x14ac:dyDescent="0.35">
      <c r="A78" s="351" t="s">
        <v>326</v>
      </c>
      <c r="B78" s="406"/>
      <c r="C78" s="311"/>
      <c r="D78" s="311"/>
      <c r="E78" s="311"/>
      <c r="F78" s="311"/>
      <c r="G78" s="333"/>
      <c r="H78" s="569" t="s">
        <v>327</v>
      </c>
      <c r="I78" s="345"/>
      <c r="J78" s="587"/>
      <c r="K78" s="588"/>
      <c r="L78" s="412"/>
      <c r="M78" s="308"/>
      <c r="N78" s="481" t="s">
        <v>236</v>
      </c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69"/>
      <c r="I79" s="345"/>
      <c r="J79" s="587"/>
      <c r="K79" s="588"/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69"/>
      <c r="I80" s="345" t="s">
        <v>174</v>
      </c>
      <c r="J80" s="589">
        <v>55</v>
      </c>
      <c r="K80" s="413" t="s">
        <v>51</v>
      </c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69"/>
      <c r="I81" s="345"/>
      <c r="J81" s="587"/>
      <c r="K81" s="588"/>
      <c r="L81" s="412"/>
      <c r="M81" s="308"/>
    </row>
    <row r="82" spans="1:13" ht="23.25" x14ac:dyDescent="0.35">
      <c r="A82" s="351"/>
      <c r="B82" s="406"/>
      <c r="C82" s="311"/>
      <c r="D82" s="311"/>
      <c r="E82" s="311"/>
      <c r="F82" s="311"/>
      <c r="G82" s="333"/>
      <c r="H82" s="569"/>
      <c r="I82" s="345"/>
      <c r="J82" s="587"/>
      <c r="K82" s="588"/>
      <c r="L82" s="412"/>
      <c r="M82" s="308"/>
    </row>
    <row r="83" spans="1:13" ht="23.25" x14ac:dyDescent="0.35">
      <c r="A83" s="358"/>
      <c r="B83" s="414"/>
      <c r="C83" s="411"/>
      <c r="D83" s="411"/>
      <c r="E83" s="411"/>
      <c r="F83" s="411"/>
      <c r="G83" s="415"/>
      <c r="H83" s="576"/>
      <c r="I83" s="345"/>
      <c r="J83" s="587"/>
      <c r="K83" s="584"/>
      <c r="L83" s="412"/>
      <c r="M83" s="308"/>
    </row>
    <row r="84" spans="1:13" ht="26.25" x14ac:dyDescent="0.4">
      <c r="A84" s="363"/>
      <c r="B84" s="409">
        <f>ROUND(SUM(B6:B83),1)</f>
        <v>72</v>
      </c>
      <c r="C84" s="364"/>
      <c r="D84" s="364"/>
      <c r="E84" s="364"/>
      <c r="F84" s="364"/>
      <c r="G84" s="365"/>
      <c r="H84" s="364"/>
      <c r="I84" s="364"/>
      <c r="J84" s="364"/>
      <c r="K84" s="364"/>
      <c r="L84" s="366" t="s">
        <v>139</v>
      </c>
      <c r="M84" s="410">
        <f>(SUM(M6:M83))</f>
        <v>2.5102000000000002</v>
      </c>
    </row>
  </sheetData>
  <mergeCells count="23">
    <mergeCell ref="U23:V23"/>
    <mergeCell ref="H27:K27"/>
    <mergeCell ref="H56:K56"/>
    <mergeCell ref="H62:K62"/>
    <mergeCell ref="H14:K14"/>
    <mergeCell ref="H15:K15"/>
    <mergeCell ref="H20:K20"/>
    <mergeCell ref="U20:V20"/>
    <mergeCell ref="U21:V21"/>
    <mergeCell ref="H22:K22"/>
    <mergeCell ref="U22:V22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26" max="12" man="1"/>
    <brk id="56" max="12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7" width="9.140625" style="292"/>
    <col min="18" max="18" width="13.85546875" style="292" bestFit="1" customWidth="1"/>
    <col min="19" max="20" width="9.140625" style="292"/>
    <col min="21" max="21" width="15" style="292" bestFit="1" customWidth="1"/>
    <col min="22" max="22" width="10.5703125" style="292" bestFit="1" customWidth="1"/>
    <col min="23" max="16384" width="9.140625" style="292"/>
  </cols>
  <sheetData>
    <row r="1" spans="1:32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32" ht="24" customHeight="1" x14ac:dyDescent="0.4">
      <c r="A2" s="897" t="s">
        <v>397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32" ht="24" customHeight="1" x14ac:dyDescent="0.35">
      <c r="A3" s="293" t="s">
        <v>396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2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  <c r="O4" s="655" t="s">
        <v>250</v>
      </c>
    </row>
    <row r="5" spans="1:32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32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IF(L6=0,"-",ROUND(L6*B6/B$77,4))</f>
        <v>0.3201</v>
      </c>
    </row>
    <row r="7" spans="1:32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</row>
    <row r="8" spans="1:32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32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32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32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  <c r="AF11" s="356"/>
    </row>
    <row r="12" spans="1:32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O12" s="356"/>
      <c r="P12" s="356"/>
      <c r="Q12" s="356"/>
      <c r="R12" s="356"/>
      <c r="S12" s="356"/>
      <c r="T12" s="356"/>
      <c r="U12" s="568" t="s">
        <v>320</v>
      </c>
      <c r="V12" s="568" t="s">
        <v>238</v>
      </c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</row>
    <row r="13" spans="1:32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4+P15</f>
        <v>4.734</v>
      </c>
      <c r="M13" s="305">
        <f>IF(L13=0,"-",ROUND(L13*B13/B$77,4))</f>
        <v>0.94679999999999997</v>
      </c>
      <c r="N13" s="425" t="s">
        <v>199</v>
      </c>
      <c r="O13" s="450" t="s">
        <v>355</v>
      </c>
      <c r="P13" s="451"/>
      <c r="Q13" s="451"/>
      <c r="R13" s="451"/>
      <c r="S13" s="451"/>
      <c r="T13" s="451"/>
      <c r="U13" s="453">
        <v>600976400</v>
      </c>
      <c r="V13" s="634">
        <f>สพญ.!S16</f>
        <v>97.34</v>
      </c>
      <c r="W13" s="616" t="s">
        <v>51</v>
      </c>
      <c r="X13" s="356"/>
      <c r="Y13" s="356"/>
      <c r="Z13" s="356"/>
      <c r="AA13" s="356"/>
      <c r="AB13" s="356"/>
      <c r="AC13" s="356"/>
      <c r="AD13" s="356"/>
      <c r="AE13" s="356"/>
      <c r="AF13" s="356"/>
    </row>
    <row r="14" spans="1:32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81" t="s">
        <v>236</v>
      </c>
      <c r="O14" s="292">
        <v>10</v>
      </c>
      <c r="P14" s="292">
        <v>1</v>
      </c>
      <c r="T14" s="292" t="s">
        <v>344</v>
      </c>
      <c r="U14" s="453">
        <f>U13</f>
        <v>600976400</v>
      </c>
      <c r="V14" s="634">
        <f>V13</f>
        <v>97.34</v>
      </c>
      <c r="W14" s="616" t="s">
        <v>51</v>
      </c>
      <c r="X14" s="356"/>
      <c r="Y14" s="356"/>
      <c r="Z14" s="356"/>
      <c r="AA14" s="356"/>
      <c r="AB14" s="356"/>
      <c r="AC14" s="356"/>
      <c r="AD14" s="356"/>
      <c r="AE14" s="356"/>
      <c r="AF14" s="356"/>
    </row>
    <row r="15" spans="1:32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O15" s="540">
        <f>J18-90</f>
        <v>7.3400000000000034</v>
      </c>
      <c r="P15" s="292">
        <f>P14*O15/O14</f>
        <v>0.73400000000000032</v>
      </c>
      <c r="V15" s="488">
        <f>V14</f>
        <v>97.34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  <c r="AF15" s="356"/>
    </row>
    <row r="16" spans="1:32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425"/>
      <c r="U16" s="545"/>
      <c r="V16" s="545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</row>
    <row r="17" spans="1:22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</row>
    <row r="18" spans="1:22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V15</f>
        <v>97.34</v>
      </c>
      <c r="K18" s="570" t="s">
        <v>51</v>
      </c>
      <c r="L18" s="307"/>
      <c r="M18" s="308"/>
    </row>
    <row r="19" spans="1:22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22" ht="23.25" x14ac:dyDescent="0.35">
      <c r="A20" s="302" t="s">
        <v>181</v>
      </c>
      <c r="B20" s="403">
        <v>4</v>
      </c>
      <c r="C20" s="332">
        <v>0.96</v>
      </c>
      <c r="D20" s="332">
        <v>0.97</v>
      </c>
      <c r="E20" s="332">
        <v>0.98</v>
      </c>
      <c r="F20" s="332">
        <v>0.99</v>
      </c>
      <c r="G20" s="332">
        <v>1</v>
      </c>
      <c r="H20" s="574" t="s">
        <v>148</v>
      </c>
      <c r="I20" s="571"/>
      <c r="J20" s="571"/>
      <c r="K20" s="572"/>
      <c r="L20" s="304">
        <f>4+P24</f>
        <v>4.9406204702502947</v>
      </c>
      <c r="M20" s="305">
        <f>IF(L20=0,"-",ROUND(L20*B20/B$77,4))</f>
        <v>0.32940000000000003</v>
      </c>
      <c r="N20" s="425" t="s">
        <v>213</v>
      </c>
      <c r="O20" s="450" t="s">
        <v>214</v>
      </c>
      <c r="P20" s="451"/>
      <c r="Q20" s="452"/>
      <c r="R20" s="453">
        <v>73523654</v>
      </c>
      <c r="S20" s="292" t="s">
        <v>187</v>
      </c>
      <c r="U20" s="545"/>
      <c r="V20" s="545"/>
    </row>
    <row r="21" spans="1:22" ht="23.25" x14ac:dyDescent="0.35">
      <c r="A21" s="309" t="s">
        <v>26</v>
      </c>
      <c r="B21" s="352"/>
      <c r="C21" s="320"/>
      <c r="D21" s="320"/>
      <c r="E21" s="320"/>
      <c r="F21" s="320"/>
      <c r="G21" s="320"/>
      <c r="H21" s="380" t="s">
        <v>149</v>
      </c>
      <c r="I21" s="381"/>
      <c r="J21" s="381"/>
      <c r="K21" s="382"/>
      <c r="L21" s="307"/>
      <c r="M21" s="308"/>
      <c r="N21" s="448" t="s">
        <v>331</v>
      </c>
      <c r="O21" s="443" t="s">
        <v>215</v>
      </c>
      <c r="P21" s="444"/>
      <c r="Q21" s="446"/>
      <c r="R21" s="473">
        <v>73479996</v>
      </c>
      <c r="S21" s="292" t="s">
        <v>187</v>
      </c>
      <c r="U21" s="545"/>
      <c r="V21" s="545"/>
    </row>
    <row r="22" spans="1:22" ht="23.25" x14ac:dyDescent="0.35">
      <c r="A22" s="309"/>
      <c r="B22" s="352"/>
      <c r="C22" s="320"/>
      <c r="D22" s="320"/>
      <c r="E22" s="320"/>
      <c r="F22" s="320"/>
      <c r="G22" s="320"/>
      <c r="H22" s="380" t="s">
        <v>75</v>
      </c>
      <c r="I22" s="381"/>
      <c r="J22" s="381"/>
      <c r="K22" s="382"/>
      <c r="L22" s="307"/>
      <c r="M22" s="308"/>
      <c r="R22" s="432">
        <f>R21*100/R20</f>
        <v>99.940620470250295</v>
      </c>
      <c r="S22" s="292" t="s">
        <v>51</v>
      </c>
      <c r="U22" s="545"/>
      <c r="V22" s="545"/>
    </row>
    <row r="23" spans="1:22" ht="23.25" x14ac:dyDescent="0.35">
      <c r="A23" s="309"/>
      <c r="B23" s="352"/>
      <c r="C23" s="320"/>
      <c r="D23" s="320"/>
      <c r="E23" s="320"/>
      <c r="F23" s="320"/>
      <c r="G23" s="320"/>
      <c r="H23" s="380" t="s">
        <v>182</v>
      </c>
      <c r="I23" s="383"/>
      <c r="J23" s="383"/>
      <c r="K23" s="384"/>
      <c r="L23" s="307"/>
      <c r="M23" s="308"/>
      <c r="N23" s="481" t="s">
        <v>236</v>
      </c>
      <c r="O23" s="292">
        <v>1</v>
      </c>
      <c r="P23" s="292">
        <v>1</v>
      </c>
      <c r="U23" s="545"/>
      <c r="V23" s="545"/>
    </row>
    <row r="24" spans="1:22" ht="23.25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324">
        <f>R22</f>
        <v>99.940620470250295</v>
      </c>
      <c r="K24" s="570" t="s">
        <v>51</v>
      </c>
      <c r="L24" s="307"/>
      <c r="M24" s="308"/>
      <c r="O24" s="540">
        <f>J24-99</f>
        <v>0.94062047025029472</v>
      </c>
      <c r="P24" s="540">
        <f>P23*O24/O23</f>
        <v>0.94062047025029472</v>
      </c>
      <c r="U24" s="545"/>
      <c r="V24" s="545"/>
    </row>
    <row r="25" spans="1:22" ht="23.25" x14ac:dyDescent="0.35">
      <c r="A25" s="325"/>
      <c r="B25" s="359"/>
      <c r="C25" s="310"/>
      <c r="D25" s="310"/>
      <c r="E25" s="310"/>
      <c r="F25" s="310"/>
      <c r="G25" s="310"/>
      <c r="H25" s="329"/>
      <c r="I25" s="423"/>
      <c r="J25" s="423"/>
      <c r="K25" s="424"/>
      <c r="L25" s="326"/>
      <c r="M25" s="299"/>
    </row>
    <row r="26" spans="1:22" ht="23.25" x14ac:dyDescent="0.35">
      <c r="A26" s="302" t="s">
        <v>183</v>
      </c>
      <c r="B26" s="403">
        <v>4</v>
      </c>
      <c r="C26" s="332">
        <v>0.8</v>
      </c>
      <c r="D26" s="332">
        <v>0.85</v>
      </c>
      <c r="E26" s="332">
        <v>0.9</v>
      </c>
      <c r="F26" s="332">
        <v>0.95</v>
      </c>
      <c r="G26" s="332">
        <v>1</v>
      </c>
      <c r="H26" s="386" t="s">
        <v>150</v>
      </c>
      <c r="I26" s="387"/>
      <c r="J26" s="387"/>
      <c r="K26" s="388"/>
      <c r="L26" s="304">
        <v>5</v>
      </c>
      <c r="M26" s="305">
        <f>IF(L26=0,"-",ROUND(L26*B26/B$77,4))</f>
        <v>0.33329999999999999</v>
      </c>
      <c r="N26" s="425" t="s">
        <v>201</v>
      </c>
    </row>
    <row r="27" spans="1:22" ht="23.25" x14ac:dyDescent="0.35">
      <c r="A27" s="309" t="s">
        <v>28</v>
      </c>
      <c r="B27" s="352"/>
      <c r="C27" s="320"/>
      <c r="D27" s="320"/>
      <c r="E27" s="320"/>
      <c r="F27" s="320"/>
      <c r="G27" s="320"/>
      <c r="H27" s="569" t="s">
        <v>154</v>
      </c>
      <c r="I27" s="573"/>
      <c r="J27" s="573"/>
      <c r="K27" s="570"/>
      <c r="L27" s="307"/>
      <c r="M27" s="308"/>
      <c r="N27" s="481" t="s">
        <v>236</v>
      </c>
    </row>
    <row r="28" spans="1:22" ht="23.25" x14ac:dyDescent="0.35">
      <c r="A28" s="309" t="s">
        <v>60</v>
      </c>
      <c r="B28" s="352"/>
      <c r="C28" s="320"/>
      <c r="D28" s="320"/>
      <c r="E28" s="320"/>
      <c r="F28" s="320"/>
      <c r="G28" s="320"/>
      <c r="H28" s="569" t="s">
        <v>64</v>
      </c>
      <c r="I28" s="573"/>
      <c r="J28" s="573"/>
      <c r="K28" s="570"/>
      <c r="L28" s="307"/>
      <c r="M28" s="308"/>
    </row>
    <row r="29" spans="1:22" ht="23.25" x14ac:dyDescent="0.35">
      <c r="A29" s="309"/>
      <c r="B29" s="352"/>
      <c r="C29" s="320"/>
      <c r="D29" s="320"/>
      <c r="E29" s="320"/>
      <c r="F29" s="320"/>
      <c r="G29" s="320"/>
      <c r="H29" s="380" t="s">
        <v>180</v>
      </c>
      <c r="I29" s="323"/>
      <c r="J29" s="322" t="s">
        <v>356</v>
      </c>
      <c r="K29" s="382"/>
      <c r="L29" s="307"/>
      <c r="M29" s="308"/>
    </row>
    <row r="30" spans="1:22" ht="23.25" x14ac:dyDescent="0.35">
      <c r="A30" s="309"/>
      <c r="B30" s="352"/>
      <c r="C30" s="320"/>
      <c r="D30" s="320"/>
      <c r="E30" s="320"/>
      <c r="F30" s="320"/>
      <c r="G30" s="320"/>
      <c r="H30" s="380"/>
      <c r="I30" s="323" t="s">
        <v>66</v>
      </c>
      <c r="J30" s="334">
        <v>1</v>
      </c>
      <c r="K30" s="382" t="s">
        <v>61</v>
      </c>
      <c r="L30" s="307"/>
      <c r="M30" s="308"/>
    </row>
    <row r="31" spans="1:22" ht="23.25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67</v>
      </c>
      <c r="J31" s="334">
        <v>1</v>
      </c>
      <c r="K31" s="382" t="s">
        <v>61</v>
      </c>
      <c r="L31" s="307"/>
      <c r="M31" s="308"/>
    </row>
    <row r="32" spans="1:22" ht="23.25" x14ac:dyDescent="0.35">
      <c r="A32" s="309"/>
      <c r="B32" s="352"/>
      <c r="C32" s="320"/>
      <c r="D32" s="320"/>
      <c r="E32" s="320"/>
      <c r="F32" s="320"/>
      <c r="G32" s="320"/>
      <c r="H32" s="569"/>
      <c r="I32" s="323" t="s">
        <v>81</v>
      </c>
      <c r="J32" s="334">
        <f>J31*100/J30</f>
        <v>100</v>
      </c>
      <c r="K32" s="570" t="s">
        <v>51</v>
      </c>
      <c r="L32" s="307"/>
      <c r="M32" s="308"/>
    </row>
    <row r="33" spans="1:16" ht="23.25" x14ac:dyDescent="0.35">
      <c r="A33" s="325"/>
      <c r="B33" s="359"/>
      <c r="C33" s="310"/>
      <c r="D33" s="310"/>
      <c r="E33" s="310"/>
      <c r="F33" s="310"/>
      <c r="G33" s="310"/>
      <c r="H33" s="565"/>
      <c r="I33" s="423"/>
      <c r="J33" s="423"/>
      <c r="K33" s="424"/>
      <c r="L33" s="326"/>
      <c r="M33" s="299"/>
    </row>
    <row r="34" spans="1:16" ht="23.25" x14ac:dyDescent="0.35">
      <c r="A34" s="302" t="s">
        <v>184</v>
      </c>
      <c r="B34" s="403">
        <v>4</v>
      </c>
      <c r="C34" s="332">
        <v>0.5</v>
      </c>
      <c r="D34" s="332">
        <v>0.75</v>
      </c>
      <c r="E34" s="332">
        <v>1</v>
      </c>
      <c r="F34" s="332">
        <v>1</v>
      </c>
      <c r="G34" s="332">
        <v>1</v>
      </c>
      <c r="H34" s="574" t="s">
        <v>152</v>
      </c>
      <c r="I34" s="571"/>
      <c r="J34" s="571"/>
      <c r="K34" s="572"/>
      <c r="L34" s="304">
        <v>3</v>
      </c>
      <c r="M34" s="305">
        <f>IF(L34=0,"-",ROUND(L34*B34/B$77,4))</f>
        <v>0.2</v>
      </c>
      <c r="N34" s="425" t="s">
        <v>332</v>
      </c>
    </row>
    <row r="35" spans="1:16" ht="23.25" x14ac:dyDescent="0.35">
      <c r="A35" s="309" t="s">
        <v>151</v>
      </c>
      <c r="B35" s="406"/>
      <c r="C35" s="335"/>
      <c r="D35" s="335"/>
      <c r="E35" s="335"/>
      <c r="F35" s="335" t="s">
        <v>70</v>
      </c>
      <c r="G35" s="335" t="s">
        <v>70</v>
      </c>
      <c r="H35" s="573" t="s">
        <v>153</v>
      </c>
      <c r="I35" s="573"/>
      <c r="J35" s="573"/>
      <c r="K35" s="570"/>
      <c r="L35" s="307"/>
      <c r="M35" s="308"/>
      <c r="N35" s="481" t="s">
        <v>236</v>
      </c>
    </row>
    <row r="36" spans="1:16" ht="23.25" x14ac:dyDescent="0.35">
      <c r="A36" s="309"/>
      <c r="B36" s="406"/>
      <c r="C36" s="335"/>
      <c r="D36" s="335"/>
      <c r="E36" s="335"/>
      <c r="F36" s="335" t="s">
        <v>137</v>
      </c>
      <c r="G36" s="335" t="s">
        <v>138</v>
      </c>
      <c r="H36" s="573" t="s">
        <v>180</v>
      </c>
      <c r="I36" s="573"/>
      <c r="J36" s="573"/>
      <c r="K36" s="570"/>
      <c r="L36" s="307"/>
      <c r="M36" s="308"/>
    </row>
    <row r="37" spans="1:16" ht="23.25" x14ac:dyDescent="0.35">
      <c r="A37" s="309"/>
      <c r="B37" s="406"/>
      <c r="C37" s="336"/>
      <c r="D37" s="336"/>
      <c r="E37" s="336"/>
      <c r="F37" s="336"/>
      <c r="G37" s="390"/>
      <c r="H37" s="569"/>
      <c r="I37" s="323" t="s">
        <v>56</v>
      </c>
      <c r="J37" s="324">
        <v>100</v>
      </c>
      <c r="K37" s="570" t="s">
        <v>51</v>
      </c>
      <c r="L37" s="307"/>
      <c r="M37" s="308"/>
    </row>
    <row r="38" spans="1:16" ht="23.25" x14ac:dyDescent="0.35">
      <c r="A38" s="325"/>
      <c r="B38" s="359"/>
      <c r="C38" s="310"/>
      <c r="D38" s="310"/>
      <c r="E38" s="310"/>
      <c r="F38" s="310"/>
      <c r="G38" s="310"/>
      <c r="H38" s="565"/>
      <c r="I38" s="566"/>
      <c r="J38" s="566"/>
      <c r="K38" s="567"/>
      <c r="L38" s="326"/>
      <c r="M38" s="299"/>
    </row>
    <row r="39" spans="1:16" ht="23.25" x14ac:dyDescent="0.35">
      <c r="A39" s="302" t="s">
        <v>185</v>
      </c>
      <c r="B39" s="403">
        <v>12</v>
      </c>
      <c r="C39" s="332">
        <v>0.78</v>
      </c>
      <c r="D39" s="332">
        <v>0.81</v>
      </c>
      <c r="E39" s="332">
        <v>0.84</v>
      </c>
      <c r="F39" s="332">
        <v>0.87</v>
      </c>
      <c r="G39" s="332">
        <v>0.9</v>
      </c>
      <c r="H39" s="574" t="s">
        <v>186</v>
      </c>
      <c r="I39" s="571"/>
      <c r="J39" s="571"/>
      <c r="K39" s="572"/>
      <c r="L39" s="304">
        <v>5</v>
      </c>
      <c r="M39" s="305">
        <f>IF(L39=0,"-",ROUND(L39*B39/B$77,4))</f>
        <v>1</v>
      </c>
      <c r="N39" s="425" t="s">
        <v>199</v>
      </c>
      <c r="O39" s="292">
        <v>3</v>
      </c>
      <c r="P39" s="292">
        <v>1</v>
      </c>
    </row>
    <row r="40" spans="1:16" ht="23.25" x14ac:dyDescent="0.35">
      <c r="A40" s="309" t="s">
        <v>85</v>
      </c>
      <c r="B40" s="352"/>
      <c r="C40" s="320"/>
      <c r="D40" s="320"/>
      <c r="E40" s="320"/>
      <c r="F40" s="320"/>
      <c r="G40" s="320"/>
      <c r="H40" s="569" t="s">
        <v>196</v>
      </c>
      <c r="I40" s="573"/>
      <c r="J40" s="573"/>
      <c r="K40" s="570"/>
      <c r="L40" s="307"/>
      <c r="M40" s="308"/>
      <c r="N40" s="481" t="s">
        <v>236</v>
      </c>
      <c r="O40" s="545">
        <f>J43-90</f>
        <v>5.5963804984865106</v>
      </c>
      <c r="P40" s="292">
        <f>P39*O40/O39</f>
        <v>1.8654601661621701</v>
      </c>
    </row>
    <row r="41" spans="1:16" ht="23.25" x14ac:dyDescent="0.35">
      <c r="A41" s="309"/>
      <c r="B41" s="352"/>
      <c r="C41" s="320"/>
      <c r="D41" s="320"/>
      <c r="E41" s="320"/>
      <c r="F41" s="320"/>
      <c r="G41" s="320"/>
      <c r="H41" s="327"/>
      <c r="I41" s="327" t="s">
        <v>87</v>
      </c>
      <c r="J41" s="429">
        <v>621080000</v>
      </c>
      <c r="K41" s="570" t="s">
        <v>187</v>
      </c>
      <c r="L41" s="307"/>
      <c r="M41" s="308"/>
    </row>
    <row r="42" spans="1:16" ht="23.25" x14ac:dyDescent="0.35">
      <c r="A42" s="309"/>
      <c r="B42" s="352"/>
      <c r="C42" s="320"/>
      <c r="D42" s="320"/>
      <c r="E42" s="320"/>
      <c r="F42" s="320"/>
      <c r="G42" s="320"/>
      <c r="H42" s="327"/>
      <c r="I42" s="323" t="s">
        <v>188</v>
      </c>
      <c r="J42" s="430">
        <v>593730000</v>
      </c>
      <c r="K42" s="570" t="s">
        <v>187</v>
      </c>
      <c r="L42" s="307"/>
      <c r="M42" s="308"/>
    </row>
    <row r="43" spans="1:16" ht="23.25" x14ac:dyDescent="0.35">
      <c r="A43" s="309"/>
      <c r="B43" s="352"/>
      <c r="C43" s="320"/>
      <c r="D43" s="320"/>
      <c r="E43" s="320"/>
      <c r="F43" s="320"/>
      <c r="G43" s="320"/>
      <c r="H43" s="327"/>
      <c r="I43" s="323" t="s">
        <v>189</v>
      </c>
      <c r="J43" s="426">
        <f>J42*100/J41</f>
        <v>95.596380498486511</v>
      </c>
      <c r="K43" s="570" t="s">
        <v>51</v>
      </c>
      <c r="L43" s="307"/>
      <c r="M43" s="308"/>
    </row>
    <row r="44" spans="1:16" ht="23.25" x14ac:dyDescent="0.35">
      <c r="A44" s="325"/>
      <c r="B44" s="359"/>
      <c r="C44" s="310"/>
      <c r="D44" s="310"/>
      <c r="E44" s="310"/>
      <c r="F44" s="310"/>
      <c r="G44" s="310"/>
      <c r="H44" s="337"/>
      <c r="I44" s="423"/>
      <c r="J44" s="338"/>
      <c r="K44" s="424"/>
      <c r="L44" s="326"/>
      <c r="M44" s="299"/>
    </row>
    <row r="45" spans="1:16" ht="23.25" x14ac:dyDescent="0.35">
      <c r="A45" s="339" t="s">
        <v>190</v>
      </c>
      <c r="B45" s="407">
        <v>4</v>
      </c>
      <c r="C45" s="340">
        <v>0.65</v>
      </c>
      <c r="D45" s="340">
        <v>0.7</v>
      </c>
      <c r="E45" s="340">
        <v>0.75</v>
      </c>
      <c r="F45" s="340">
        <v>0.8</v>
      </c>
      <c r="G45" s="340">
        <v>0.85</v>
      </c>
      <c r="H45" s="574" t="s">
        <v>156</v>
      </c>
      <c r="I45" s="571"/>
      <c r="J45" s="571"/>
      <c r="K45" s="572"/>
      <c r="L45" s="304">
        <v>1</v>
      </c>
      <c r="M45" s="305">
        <f>IF(L45=0,"-",ROUND(L45*B45/B$77,4))</f>
        <v>6.6699999999999995E-2</v>
      </c>
      <c r="N45" s="425" t="s">
        <v>337</v>
      </c>
    </row>
    <row r="46" spans="1:16" ht="23.25" x14ac:dyDescent="0.35">
      <c r="A46" s="309" t="s">
        <v>145</v>
      </c>
      <c r="B46" s="352"/>
      <c r="C46" s="320"/>
      <c r="D46" s="320"/>
      <c r="E46" s="320"/>
      <c r="F46" s="320"/>
      <c r="G46" s="320"/>
      <c r="H46" s="569" t="s">
        <v>104</v>
      </c>
      <c r="I46" s="573"/>
      <c r="J46" s="573"/>
      <c r="K46" s="570"/>
      <c r="L46" s="307"/>
      <c r="M46" s="308"/>
      <c r="N46" s="481" t="s">
        <v>236</v>
      </c>
    </row>
    <row r="47" spans="1:16" ht="23.25" x14ac:dyDescent="0.35">
      <c r="A47" s="389" t="s">
        <v>155</v>
      </c>
      <c r="B47" s="352"/>
      <c r="C47" s="320"/>
      <c r="D47" s="320"/>
      <c r="E47" s="320"/>
      <c r="F47" s="320"/>
      <c r="G47" s="320"/>
      <c r="H47" s="569" t="s">
        <v>105</v>
      </c>
      <c r="I47" s="573"/>
      <c r="J47" s="573"/>
      <c r="K47" s="570"/>
      <c r="L47" s="307"/>
      <c r="M47" s="308"/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41"/>
      <c r="I48" s="342" t="s">
        <v>113</v>
      </c>
      <c r="J48" s="343" t="s">
        <v>11</v>
      </c>
      <c r="K48" s="570" t="s">
        <v>51</v>
      </c>
      <c r="L48" s="307"/>
      <c r="M48" s="308"/>
    </row>
    <row r="49" spans="1:17" ht="23.25" x14ac:dyDescent="0.35">
      <c r="A49" s="325"/>
      <c r="B49" s="359"/>
      <c r="C49" s="310"/>
      <c r="D49" s="310"/>
      <c r="E49" s="310"/>
      <c r="F49" s="310"/>
      <c r="G49" s="415"/>
      <c r="H49" s="891" t="s">
        <v>211</v>
      </c>
      <c r="I49" s="892"/>
      <c r="J49" s="892"/>
      <c r="K49" s="893"/>
      <c r="L49" s="326"/>
      <c r="M49" s="299"/>
    </row>
    <row r="50" spans="1:17" ht="23.25" x14ac:dyDescent="0.35">
      <c r="A50" s="302" t="s">
        <v>106</v>
      </c>
      <c r="B50" s="407">
        <v>4</v>
      </c>
      <c r="C50" s="346" t="s">
        <v>29</v>
      </c>
      <c r="D50" s="346" t="s">
        <v>30</v>
      </c>
      <c r="E50" s="346" t="s">
        <v>31</v>
      </c>
      <c r="F50" s="346" t="s">
        <v>32</v>
      </c>
      <c r="G50" s="346" t="s">
        <v>33</v>
      </c>
      <c r="H50" s="574" t="s">
        <v>108</v>
      </c>
      <c r="I50" s="571"/>
      <c r="J50" s="571"/>
      <c r="K50" s="572"/>
      <c r="L50" s="304">
        <v>2</v>
      </c>
      <c r="M50" s="305">
        <f>IF(L50=0,"-",ROUND(L50*B50/B$77,4))</f>
        <v>0.1333</v>
      </c>
      <c r="N50" s="425" t="s">
        <v>332</v>
      </c>
    </row>
    <row r="51" spans="1:17" ht="23.25" x14ac:dyDescent="0.35">
      <c r="A51" s="309" t="s">
        <v>107</v>
      </c>
      <c r="B51" s="352"/>
      <c r="C51" s="348">
        <v>1.5</v>
      </c>
      <c r="D51" s="348">
        <v>2</v>
      </c>
      <c r="E51" s="348">
        <v>2.5</v>
      </c>
      <c r="F51" s="348">
        <v>3</v>
      </c>
      <c r="G51" s="348">
        <v>5</v>
      </c>
      <c r="H51" s="569" t="s">
        <v>146</v>
      </c>
      <c r="I51" s="573"/>
      <c r="J51" s="573"/>
      <c r="K51" s="570"/>
      <c r="L51" s="307"/>
      <c r="M51" s="308"/>
      <c r="N51" s="481" t="s">
        <v>236</v>
      </c>
    </row>
    <row r="52" spans="1:17" ht="23.25" x14ac:dyDescent="0.35">
      <c r="A52" s="309"/>
      <c r="B52" s="352"/>
      <c r="C52" s="344"/>
      <c r="D52" s="344"/>
      <c r="E52" s="344"/>
      <c r="F52" s="344"/>
      <c r="G52" s="344"/>
      <c r="H52" s="569" t="s">
        <v>110</v>
      </c>
      <c r="I52" s="573"/>
      <c r="J52" s="573"/>
      <c r="K52" s="570"/>
      <c r="L52" s="307"/>
      <c r="M52" s="308"/>
    </row>
    <row r="53" spans="1:17" ht="23.25" x14ac:dyDescent="0.35">
      <c r="A53" s="309"/>
      <c r="B53" s="352"/>
      <c r="C53" s="344"/>
      <c r="D53" s="344"/>
      <c r="E53" s="344"/>
      <c r="F53" s="344"/>
      <c r="G53" s="344"/>
      <c r="H53" s="569" t="s">
        <v>191</v>
      </c>
      <c r="I53" s="573"/>
      <c r="J53" s="573"/>
      <c r="K53" s="570"/>
      <c r="L53" s="307"/>
      <c r="M53" s="308"/>
    </row>
    <row r="54" spans="1:17" ht="23.25" x14ac:dyDescent="0.35">
      <c r="A54" s="309"/>
      <c r="B54" s="352"/>
      <c r="C54" s="344"/>
      <c r="D54" s="344"/>
      <c r="E54" s="344"/>
      <c r="F54" s="344"/>
      <c r="G54" s="344"/>
      <c r="H54" s="569"/>
      <c r="I54" s="323" t="s">
        <v>112</v>
      </c>
      <c r="J54" s="324">
        <v>2</v>
      </c>
      <c r="K54" s="382"/>
      <c r="L54" s="307"/>
      <c r="M54" s="308"/>
    </row>
    <row r="55" spans="1:17" ht="23.25" x14ac:dyDescent="0.35">
      <c r="A55" s="325"/>
      <c r="B55" s="359"/>
      <c r="C55" s="310"/>
      <c r="D55" s="310"/>
      <c r="E55" s="310"/>
      <c r="F55" s="310"/>
      <c r="G55" s="310"/>
      <c r="H55" s="891"/>
      <c r="I55" s="892"/>
      <c r="J55" s="892"/>
      <c r="K55" s="893"/>
      <c r="L55" s="326"/>
      <c r="M55" s="299"/>
    </row>
    <row r="56" spans="1:17" ht="23.25" x14ac:dyDescent="0.35">
      <c r="A56" s="350" t="s">
        <v>132</v>
      </c>
      <c r="B56" s="407">
        <v>4</v>
      </c>
      <c r="C56" s="340">
        <v>0.1</v>
      </c>
      <c r="D56" s="340">
        <v>0.3</v>
      </c>
      <c r="E56" s="340">
        <v>0.5</v>
      </c>
      <c r="F56" s="340">
        <v>0.7</v>
      </c>
      <c r="G56" s="340">
        <v>1</v>
      </c>
      <c r="H56" s="574" t="s">
        <v>123</v>
      </c>
      <c r="I56" s="571"/>
      <c r="J56" s="571"/>
      <c r="K56" s="572"/>
      <c r="L56" s="304">
        <f>5+Q57</f>
        <v>5</v>
      </c>
      <c r="M56" s="305">
        <f>IF(L56=0,"-",ROUND(L56*B56/B$77,4))</f>
        <v>0.33329999999999999</v>
      </c>
      <c r="N56" s="425" t="s">
        <v>202</v>
      </c>
      <c r="P56" s="292">
        <v>30</v>
      </c>
      <c r="Q56" s="292">
        <v>1</v>
      </c>
    </row>
    <row r="57" spans="1:17" ht="23.25" x14ac:dyDescent="0.35">
      <c r="A57" s="351" t="s">
        <v>192</v>
      </c>
      <c r="B57" s="352"/>
      <c r="C57" s="320"/>
      <c r="D57" s="320"/>
      <c r="E57" s="320"/>
      <c r="F57" s="320"/>
      <c r="G57" s="311"/>
      <c r="H57" s="569" t="s">
        <v>124</v>
      </c>
      <c r="I57" s="322"/>
      <c r="J57" s="353"/>
      <c r="K57" s="354"/>
      <c r="L57" s="355"/>
      <c r="M57" s="308"/>
      <c r="N57" s="481" t="s">
        <v>236</v>
      </c>
      <c r="P57" s="540">
        <f>J61-100</f>
        <v>0</v>
      </c>
      <c r="Q57" s="292">
        <f>Q56*P57/P56</f>
        <v>0</v>
      </c>
    </row>
    <row r="58" spans="1:17" ht="23.25" x14ac:dyDescent="0.35">
      <c r="A58" s="351"/>
      <c r="B58" s="352"/>
      <c r="C58" s="320"/>
      <c r="D58" s="320"/>
      <c r="E58" s="320"/>
      <c r="F58" s="320"/>
      <c r="G58" s="320"/>
      <c r="H58" s="573" t="s">
        <v>125</v>
      </c>
      <c r="I58" s="322"/>
      <c r="J58" s="353"/>
      <c r="K58" s="354"/>
      <c r="L58" s="355"/>
      <c r="M58" s="308"/>
    </row>
    <row r="59" spans="1:17" ht="23.25" x14ac:dyDescent="0.35">
      <c r="A59" s="351"/>
      <c r="B59" s="352"/>
      <c r="C59" s="320"/>
      <c r="D59" s="320"/>
      <c r="E59" s="320"/>
      <c r="F59" s="320"/>
      <c r="G59" s="320"/>
      <c r="H59" s="569" t="s">
        <v>126</v>
      </c>
      <c r="I59" s="322"/>
      <c r="J59" s="353"/>
      <c r="K59" s="354"/>
      <c r="L59" s="355"/>
      <c r="M59" s="308"/>
    </row>
    <row r="60" spans="1:17" ht="23.25" x14ac:dyDescent="0.35">
      <c r="A60" s="351"/>
      <c r="B60" s="352"/>
      <c r="C60" s="320"/>
      <c r="D60" s="320"/>
      <c r="E60" s="320"/>
      <c r="F60" s="320"/>
      <c r="G60" s="320"/>
      <c r="H60" s="569" t="s">
        <v>127</v>
      </c>
      <c r="I60" s="322"/>
      <c r="J60" s="353"/>
      <c r="K60" s="354"/>
      <c r="L60" s="355"/>
      <c r="M60" s="308"/>
    </row>
    <row r="61" spans="1:17" ht="23.25" x14ac:dyDescent="0.35">
      <c r="A61" s="351"/>
      <c r="B61" s="352"/>
      <c r="C61" s="320"/>
      <c r="D61" s="320"/>
      <c r="E61" s="320"/>
      <c r="F61" s="320"/>
      <c r="G61" s="320"/>
      <c r="H61" s="569"/>
      <c r="I61" s="323" t="s">
        <v>114</v>
      </c>
      <c r="J61" s="408">
        <f>สพญ.!S94</f>
        <v>100</v>
      </c>
      <c r="K61" s="382" t="s">
        <v>51</v>
      </c>
      <c r="L61" s="355"/>
      <c r="M61" s="308"/>
    </row>
    <row r="62" spans="1:17" ht="23.25" x14ac:dyDescent="0.35">
      <c r="A62" s="358"/>
      <c r="B62" s="359"/>
      <c r="C62" s="310"/>
      <c r="D62" s="310"/>
      <c r="E62" s="310"/>
      <c r="F62" s="310"/>
      <c r="G62" s="310"/>
      <c r="H62" s="330"/>
      <c r="I62" s="423"/>
      <c r="J62" s="423"/>
      <c r="K62" s="424"/>
      <c r="L62" s="360"/>
      <c r="M62" s="299"/>
    </row>
    <row r="63" spans="1:17" ht="23.25" x14ac:dyDescent="0.35">
      <c r="A63" s="302" t="s">
        <v>115</v>
      </c>
      <c r="B63" s="407">
        <v>4</v>
      </c>
      <c r="C63" s="361">
        <v>0.8</v>
      </c>
      <c r="D63" s="361">
        <v>0.85</v>
      </c>
      <c r="E63" s="361">
        <v>0.9</v>
      </c>
      <c r="F63" s="361">
        <v>0.95</v>
      </c>
      <c r="G63" s="361">
        <v>1</v>
      </c>
      <c r="H63" s="574" t="s">
        <v>157</v>
      </c>
      <c r="I63" s="571"/>
      <c r="J63" s="571"/>
      <c r="K63" s="572"/>
      <c r="L63" s="304">
        <f>4+O64</f>
        <v>4.863999999999999</v>
      </c>
      <c r="M63" s="305">
        <f>IF(L63=0,"-",ROUND(L63*B63/B$77,4))</f>
        <v>0.32429999999999998</v>
      </c>
      <c r="N63" s="292">
        <v>5</v>
      </c>
      <c r="O63" s="292">
        <v>1</v>
      </c>
    </row>
    <row r="64" spans="1:17" ht="23.25" x14ac:dyDescent="0.35">
      <c r="A64" s="309" t="s">
        <v>116</v>
      </c>
      <c r="B64" s="352"/>
      <c r="C64" s="348"/>
      <c r="D64" s="348"/>
      <c r="E64" s="348"/>
      <c r="F64" s="348"/>
      <c r="G64" s="348"/>
      <c r="H64" s="569" t="s">
        <v>158</v>
      </c>
      <c r="I64" s="573"/>
      <c r="J64" s="573"/>
      <c r="K64" s="570"/>
      <c r="L64" s="362"/>
      <c r="M64" s="308"/>
      <c r="N64" s="540">
        <f>J68-95</f>
        <v>4.3199999999999932</v>
      </c>
      <c r="O64" s="292">
        <f>O63*N64/N63</f>
        <v>0.86399999999999866</v>
      </c>
    </row>
    <row r="65" spans="1:13" ht="23.25" x14ac:dyDescent="0.35">
      <c r="A65" s="309" t="s">
        <v>193</v>
      </c>
      <c r="B65" s="352"/>
      <c r="C65" s="320"/>
      <c r="D65" s="320"/>
      <c r="E65" s="320"/>
      <c r="F65" s="320"/>
      <c r="G65" s="320"/>
      <c r="H65" s="569" t="s">
        <v>197</v>
      </c>
      <c r="I65" s="573"/>
      <c r="J65" s="573"/>
      <c r="K65" s="570"/>
      <c r="L65" s="362"/>
      <c r="M65" s="308"/>
    </row>
    <row r="66" spans="1:13" ht="23.25" x14ac:dyDescent="0.35">
      <c r="A66" s="309"/>
      <c r="B66" s="352"/>
      <c r="C66" s="320"/>
      <c r="D66" s="320"/>
      <c r="E66" s="320"/>
      <c r="F66" s="320"/>
      <c r="G66" s="320"/>
      <c r="H66" s="569" t="s">
        <v>120</v>
      </c>
      <c r="I66" s="573"/>
      <c r="J66" s="573"/>
      <c r="K66" s="570"/>
      <c r="L66" s="362"/>
      <c r="M66" s="308"/>
    </row>
    <row r="67" spans="1:13" ht="23.25" x14ac:dyDescent="0.35">
      <c r="A67" s="309"/>
      <c r="B67" s="352"/>
      <c r="C67" s="320"/>
      <c r="D67" s="320"/>
      <c r="E67" s="320"/>
      <c r="F67" s="320"/>
      <c r="G67" s="320"/>
      <c r="H67" s="569" t="s">
        <v>194</v>
      </c>
      <c r="I67" s="573"/>
      <c r="J67" s="573"/>
      <c r="K67" s="570"/>
      <c r="L67" s="362"/>
      <c r="M67" s="308"/>
    </row>
    <row r="68" spans="1:13" ht="23.25" x14ac:dyDescent="0.35">
      <c r="A68" s="309"/>
      <c r="B68" s="352"/>
      <c r="C68" s="320"/>
      <c r="D68" s="320"/>
      <c r="E68" s="320"/>
      <c r="F68" s="320"/>
      <c r="G68" s="344"/>
      <c r="H68" s="569" t="s">
        <v>195</v>
      </c>
      <c r="I68" s="345"/>
      <c r="J68" s="408">
        <v>99.32</v>
      </c>
      <c r="K68" s="413" t="s">
        <v>51</v>
      </c>
      <c r="L68" s="412"/>
      <c r="M68" s="308"/>
    </row>
    <row r="69" spans="1:13" ht="23.25" x14ac:dyDescent="0.35">
      <c r="A69" s="358"/>
      <c r="B69" s="414"/>
      <c r="C69" s="411"/>
      <c r="D69" s="411"/>
      <c r="E69" s="411"/>
      <c r="F69" s="411"/>
      <c r="G69" s="329"/>
      <c r="H69" s="576"/>
      <c r="I69" s="582"/>
      <c r="J69" s="583"/>
      <c r="K69" s="584"/>
      <c r="L69" s="416"/>
      <c r="M69" s="308"/>
    </row>
    <row r="70" spans="1:13" ht="23.25" x14ac:dyDescent="0.35">
      <c r="A70" s="351" t="s">
        <v>324</v>
      </c>
      <c r="B70" s="585">
        <v>4</v>
      </c>
      <c r="C70" s="586">
        <v>0.4</v>
      </c>
      <c r="D70" s="586">
        <v>0.45</v>
      </c>
      <c r="E70" s="586">
        <v>0.5</v>
      </c>
      <c r="F70" s="586">
        <v>0.55000000000000004</v>
      </c>
      <c r="G70" s="586">
        <v>0.6</v>
      </c>
      <c r="H70" s="569" t="s">
        <v>325</v>
      </c>
      <c r="I70" s="345"/>
      <c r="J70" s="587"/>
      <c r="K70" s="588"/>
      <c r="L70" s="412">
        <v>4</v>
      </c>
      <c r="M70" s="305">
        <f>IF(L70=0,"-",ROUND(L70*B70/B$77,4))</f>
        <v>0.26669999999999999</v>
      </c>
    </row>
    <row r="71" spans="1:13" ht="23.25" x14ac:dyDescent="0.35">
      <c r="A71" s="351" t="s">
        <v>326</v>
      </c>
      <c r="B71" s="406"/>
      <c r="C71" s="311"/>
      <c r="D71" s="311"/>
      <c r="E71" s="311"/>
      <c r="F71" s="311"/>
      <c r="G71" s="333"/>
      <c r="H71" s="569" t="s">
        <v>327</v>
      </c>
      <c r="I71" s="345"/>
      <c r="J71" s="587"/>
      <c r="K71" s="588"/>
      <c r="L71" s="412"/>
      <c r="M71" s="308"/>
    </row>
    <row r="72" spans="1:13" ht="23.25" x14ac:dyDescent="0.35">
      <c r="A72" s="351"/>
      <c r="B72" s="406"/>
      <c r="C72" s="311"/>
      <c r="D72" s="311"/>
      <c r="E72" s="311"/>
      <c r="F72" s="311"/>
      <c r="G72" s="333"/>
      <c r="H72" s="569"/>
      <c r="I72" s="345"/>
      <c r="J72" s="587"/>
      <c r="K72" s="588"/>
      <c r="L72" s="412"/>
      <c r="M72" s="308"/>
    </row>
    <row r="73" spans="1:13" ht="23.25" x14ac:dyDescent="0.35">
      <c r="A73" s="351"/>
      <c r="B73" s="406"/>
      <c r="C73" s="311"/>
      <c r="D73" s="311"/>
      <c r="E73" s="311"/>
      <c r="F73" s="311"/>
      <c r="G73" s="333"/>
      <c r="H73" s="569"/>
      <c r="I73" s="345" t="s">
        <v>174</v>
      </c>
      <c r="J73" s="589">
        <v>55</v>
      </c>
      <c r="K73" s="413" t="s">
        <v>51</v>
      </c>
      <c r="L73" s="412"/>
      <c r="M73" s="308"/>
    </row>
    <row r="74" spans="1:13" ht="23.25" x14ac:dyDescent="0.35">
      <c r="A74" s="351"/>
      <c r="B74" s="406"/>
      <c r="C74" s="311"/>
      <c r="D74" s="311"/>
      <c r="E74" s="311"/>
      <c r="F74" s="311"/>
      <c r="G74" s="333"/>
      <c r="H74" s="569"/>
      <c r="I74" s="345"/>
      <c r="J74" s="587"/>
      <c r="K74" s="588"/>
      <c r="L74" s="412"/>
      <c r="M74" s="308"/>
    </row>
    <row r="75" spans="1:13" ht="23.25" x14ac:dyDescent="0.35">
      <c r="A75" s="351"/>
      <c r="B75" s="406"/>
      <c r="C75" s="311"/>
      <c r="D75" s="311"/>
      <c r="E75" s="311"/>
      <c r="F75" s="311"/>
      <c r="G75" s="333"/>
      <c r="H75" s="569"/>
      <c r="I75" s="345"/>
      <c r="J75" s="587"/>
      <c r="K75" s="588"/>
      <c r="L75" s="412"/>
      <c r="M75" s="308"/>
    </row>
    <row r="76" spans="1:13" ht="23.25" x14ac:dyDescent="0.35">
      <c r="A76" s="358"/>
      <c r="B76" s="414"/>
      <c r="C76" s="411"/>
      <c r="D76" s="411"/>
      <c r="E76" s="411"/>
      <c r="F76" s="411"/>
      <c r="G76" s="415"/>
      <c r="H76" s="576"/>
      <c r="I76" s="345"/>
      <c r="J76" s="587"/>
      <c r="K76" s="584"/>
      <c r="L76" s="412"/>
      <c r="M76" s="308"/>
    </row>
    <row r="77" spans="1:13" ht="26.25" x14ac:dyDescent="0.4">
      <c r="A77" s="363"/>
      <c r="B77" s="409">
        <f>ROUND(SUM(B6:B76),1)</f>
        <v>60</v>
      </c>
      <c r="C77" s="364"/>
      <c r="D77" s="364"/>
      <c r="E77" s="364"/>
      <c r="F77" s="364"/>
      <c r="G77" s="365"/>
      <c r="H77" s="364"/>
      <c r="I77" s="364"/>
      <c r="J77" s="364"/>
      <c r="K77" s="364"/>
      <c r="L77" s="366" t="s">
        <v>139</v>
      </c>
      <c r="M77" s="410">
        <f>(SUM(M6:M76))</f>
        <v>4.2538999999999998</v>
      </c>
    </row>
  </sheetData>
  <mergeCells count="16">
    <mergeCell ref="H14:K14"/>
    <mergeCell ref="H15:K15"/>
    <mergeCell ref="H49:K49"/>
    <mergeCell ref="H55:K55"/>
    <mergeCell ref="H7:K7"/>
    <mergeCell ref="H8:K8"/>
    <mergeCell ref="H9:K9"/>
    <mergeCell ref="H10:K10"/>
    <mergeCell ref="H12:K12"/>
    <mergeCell ref="H13:K13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" top="0.55118110236220497" bottom="0.27559055118110198" header="0.196850393700787" footer="0.47244094488188998"/>
  <pageSetup paperSize="9" scale="73" orientation="landscape" r:id="rId1"/>
  <headerFooter scaleWithDoc="0">
    <oddHeader>&amp;R&amp;"TH SarabunPSK,ธรรมดา"&amp;16&amp;P</oddHeader>
  </headerFooter>
  <rowBreaks count="2" manualBreakCount="2">
    <brk id="25" max="12" man="1"/>
    <brk id="55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20" width="9.140625" style="292"/>
    <col min="21" max="21" width="14.140625" style="292" bestFit="1" customWidth="1"/>
    <col min="22" max="22" width="10.5703125" style="292" bestFit="1" customWidth="1"/>
    <col min="23" max="27" width="9.140625" style="292"/>
    <col min="28" max="29" width="9.85546875" style="292" bestFit="1" customWidth="1"/>
    <col min="30" max="16384" width="9.140625" style="292"/>
  </cols>
  <sheetData>
    <row r="1" spans="1:31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31" ht="24" customHeight="1" x14ac:dyDescent="0.4">
      <c r="A2" s="897" t="s">
        <v>398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31" ht="24" customHeight="1" x14ac:dyDescent="0.35">
      <c r="A3" s="293" t="s">
        <v>399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31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31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31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IF(L6=0,"-",ROUND(L6*B6/B$83,4))</f>
        <v>0.30009999999999998</v>
      </c>
      <c r="N6" s="425" t="s">
        <v>357</v>
      </c>
    </row>
    <row r="7" spans="1:31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 t="s">
        <v>236</v>
      </c>
    </row>
    <row r="8" spans="1:31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  <c r="N8" s="425"/>
    </row>
    <row r="9" spans="1:31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  <c r="N9" s="425"/>
    </row>
    <row r="10" spans="1:31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  <c r="N10" s="425"/>
    </row>
    <row r="11" spans="1:31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  <c r="N11" s="425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  <c r="AD11" s="356"/>
      <c r="AE11" s="356"/>
    </row>
    <row r="12" spans="1:31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N12" s="425"/>
      <c r="O12" s="356"/>
      <c r="P12" s="356"/>
      <c r="Q12" s="356"/>
      <c r="R12" s="356"/>
      <c r="S12" s="356"/>
      <c r="T12" s="879" t="s">
        <v>320</v>
      </c>
      <c r="U12" s="879"/>
      <c r="V12" s="568" t="s">
        <v>238</v>
      </c>
      <c r="W12" s="356"/>
      <c r="X12" s="356"/>
      <c r="Y12" s="356"/>
      <c r="Z12" s="356"/>
      <c r="AA12" s="356"/>
      <c r="AB12" s="356"/>
      <c r="AC12" s="356"/>
      <c r="AD12" s="356"/>
      <c r="AE12" s="356"/>
    </row>
    <row r="13" spans="1:31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4+P15</f>
        <v>4.2481999999999998</v>
      </c>
      <c r="M13" s="305">
        <f>IF(L13=0,"-",ROUND(L13*B13/B$83,4))</f>
        <v>0.79649999999999999</v>
      </c>
      <c r="N13" s="425" t="s">
        <v>199</v>
      </c>
      <c r="P13" s="292" t="s">
        <v>358</v>
      </c>
      <c r="T13" s="931">
        <f>สพญ.!R17</f>
        <v>112978732</v>
      </c>
      <c r="U13" s="931"/>
      <c r="V13" s="739">
        <f>สพญ.!S17</f>
        <v>92.481999999999999</v>
      </c>
      <c r="W13" s="740" t="s">
        <v>213</v>
      </c>
      <c r="X13" s="356"/>
      <c r="Y13" s="356"/>
      <c r="Z13" s="356"/>
      <c r="AA13" s="356"/>
      <c r="AB13" s="356"/>
      <c r="AC13" s="356"/>
      <c r="AD13" s="356"/>
      <c r="AE13" s="356"/>
    </row>
    <row r="14" spans="1:31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25" t="s">
        <v>236</v>
      </c>
      <c r="O14" s="292">
        <v>10</v>
      </c>
      <c r="P14" s="292">
        <v>1</v>
      </c>
      <c r="S14" s="292" t="s">
        <v>344</v>
      </c>
      <c r="T14" s="929">
        <f>T13</f>
        <v>112978732</v>
      </c>
      <c r="U14" s="929"/>
      <c r="V14" s="632">
        <f>V13</f>
        <v>92.481999999999999</v>
      </c>
      <c r="W14" s="356"/>
      <c r="X14" s="356"/>
      <c r="Y14" s="356"/>
      <c r="Z14" s="356"/>
      <c r="AA14" s="356"/>
      <c r="AB14" s="356"/>
      <c r="AC14" s="356"/>
      <c r="AD14" s="356"/>
      <c r="AE14" s="356"/>
    </row>
    <row r="15" spans="1:31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N15" s="425"/>
      <c r="O15" s="540">
        <f>J18-90</f>
        <v>2.4819999999999993</v>
      </c>
      <c r="P15" s="292">
        <f>P14*O15/O14</f>
        <v>0.24819999999999992</v>
      </c>
      <c r="V15" s="545">
        <f>V14</f>
        <v>92.481999999999999</v>
      </c>
      <c r="W15" s="292" t="s">
        <v>51</v>
      </c>
      <c r="X15" s="356"/>
      <c r="Y15" s="356"/>
      <c r="Z15" s="356"/>
      <c r="AA15" s="356"/>
      <c r="AB15" s="356"/>
      <c r="AC15" s="356"/>
      <c r="AD15" s="356"/>
      <c r="AE15" s="356"/>
    </row>
    <row r="16" spans="1:31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425"/>
      <c r="U16" s="545"/>
      <c r="V16" s="545"/>
      <c r="W16" s="356"/>
      <c r="X16" s="356"/>
      <c r="Y16" s="356"/>
      <c r="Z16" s="356"/>
      <c r="AA16" s="356"/>
      <c r="AB16" s="356"/>
      <c r="AC16" s="356"/>
      <c r="AD16" s="356"/>
      <c r="AE16" s="356"/>
    </row>
    <row r="17" spans="1:31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N17" s="425"/>
    </row>
    <row r="18" spans="1:31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V15</f>
        <v>92.481999999999999</v>
      </c>
      <c r="K18" s="570" t="s">
        <v>51</v>
      </c>
      <c r="L18" s="307"/>
      <c r="M18" s="308"/>
      <c r="N18" s="425"/>
    </row>
    <row r="19" spans="1:31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5"/>
    </row>
    <row r="20" spans="1:31" ht="25.5" x14ac:dyDescent="0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894" t="s">
        <v>57</v>
      </c>
      <c r="I20" s="895"/>
      <c r="J20" s="895"/>
      <c r="K20" s="896"/>
      <c r="L20" s="304">
        <f>2+P22</f>
        <v>2.9789878666666669</v>
      </c>
      <c r="M20" s="305">
        <f>IF(L20=0,"-",ROUND(L20*B20/B$83,4))</f>
        <v>0.1862</v>
      </c>
      <c r="N20" s="425" t="s">
        <v>199</v>
      </c>
      <c r="O20" s="458" t="s">
        <v>292</v>
      </c>
      <c r="P20" s="459" t="s">
        <v>359</v>
      </c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60">
        <v>600000</v>
      </c>
      <c r="AC20" s="654">
        <f>สพญ.!AB55</f>
        <v>596848.18000000005</v>
      </c>
      <c r="AD20" s="432">
        <f>AC20*100/AB20</f>
        <v>99.474696666666674</v>
      </c>
      <c r="AE20" s="292" t="s">
        <v>51</v>
      </c>
    </row>
    <row r="21" spans="1:31" ht="23.25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69" t="s">
        <v>58</v>
      </c>
      <c r="I21" s="573"/>
      <c r="J21" s="573"/>
      <c r="K21" s="570"/>
      <c r="L21" s="307"/>
      <c r="M21" s="308"/>
      <c r="N21" s="425" t="s">
        <v>236</v>
      </c>
      <c r="O21" s="292">
        <v>25</v>
      </c>
      <c r="P21" s="292">
        <v>1</v>
      </c>
    </row>
    <row r="22" spans="1:31" ht="23.25" x14ac:dyDescent="0.3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69" t="s">
        <v>147</v>
      </c>
      <c r="I22" s="573"/>
      <c r="J22" s="573"/>
      <c r="K22" s="570"/>
      <c r="L22" s="307"/>
      <c r="M22" s="308"/>
      <c r="O22" s="540">
        <f>J24-75</f>
        <v>24.474696666666674</v>
      </c>
      <c r="P22" s="292">
        <f>P21*O22/O21</f>
        <v>0.97898786666666693</v>
      </c>
    </row>
    <row r="23" spans="1:31" ht="23.25" x14ac:dyDescent="0.35">
      <c r="A23" s="309"/>
      <c r="B23" s="352"/>
      <c r="C23" s="320"/>
      <c r="D23" s="320"/>
      <c r="E23" s="320"/>
      <c r="F23" s="320"/>
      <c r="G23" s="320"/>
      <c r="H23" s="569" t="s">
        <v>180</v>
      </c>
      <c r="I23" s="573"/>
      <c r="J23" s="573"/>
      <c r="K23" s="570"/>
      <c r="L23" s="307"/>
      <c r="M23" s="308"/>
    </row>
    <row r="24" spans="1:31" ht="23.25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324">
        <f>AD20</f>
        <v>99.474696666666674</v>
      </c>
      <c r="K24" s="570" t="s">
        <v>51</v>
      </c>
      <c r="L24" s="307"/>
      <c r="M24" s="308"/>
    </row>
    <row r="25" spans="1:31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31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4" t="s">
        <v>148</v>
      </c>
      <c r="I26" s="571"/>
      <c r="J26" s="571"/>
      <c r="K26" s="572"/>
      <c r="L26" s="304">
        <v>1</v>
      </c>
      <c r="M26" s="305">
        <f>IF(L26=0,"-",ROUND(L26*B26/B$83,4))</f>
        <v>6.25E-2</v>
      </c>
      <c r="N26" s="425" t="s">
        <v>331</v>
      </c>
      <c r="P26" s="450" t="s">
        <v>214</v>
      </c>
      <c r="Q26" s="451"/>
      <c r="R26" s="452"/>
      <c r="S26" s="929">
        <v>89041032</v>
      </c>
      <c r="T26" s="929"/>
      <c r="U26" s="545"/>
      <c r="V26" s="545"/>
    </row>
    <row r="27" spans="1:31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25" t="s">
        <v>236</v>
      </c>
      <c r="P27" s="443" t="s">
        <v>215</v>
      </c>
      <c r="Q27" s="444"/>
      <c r="R27" s="446"/>
      <c r="S27" s="930">
        <v>83870223</v>
      </c>
      <c r="T27" s="930"/>
      <c r="U27" s="545"/>
      <c r="V27" s="545"/>
    </row>
    <row r="28" spans="1:31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O28" s="292">
        <v>1</v>
      </c>
      <c r="P28" s="292">
        <v>1</v>
      </c>
      <c r="S28" s="635">
        <f>S27*100/S26</f>
        <v>94.192779571557523</v>
      </c>
      <c r="T28" s="292" t="s">
        <v>51</v>
      </c>
      <c r="U28" s="545"/>
      <c r="V28" s="545"/>
    </row>
    <row r="29" spans="1:31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O29" s="292">
        <v>0</v>
      </c>
      <c r="P29" s="292">
        <f>P28*O29/O28</f>
        <v>0</v>
      </c>
      <c r="U29" s="545"/>
      <c r="V29" s="545"/>
    </row>
    <row r="30" spans="1:31" ht="23.25" x14ac:dyDescent="0.35">
      <c r="A30" s="309"/>
      <c r="B30" s="352"/>
      <c r="C30" s="320"/>
      <c r="D30" s="320"/>
      <c r="E30" s="320"/>
      <c r="F30" s="320"/>
      <c r="G30" s="311"/>
      <c r="H30" s="569"/>
      <c r="I30" s="323" t="s">
        <v>56</v>
      </c>
      <c r="J30" s="343">
        <f>S28</f>
        <v>94.192779571557523</v>
      </c>
      <c r="K30" s="570" t="s">
        <v>51</v>
      </c>
      <c r="L30" s="307"/>
      <c r="M30" s="308"/>
      <c r="U30" s="545"/>
      <c r="V30" s="545"/>
    </row>
    <row r="31" spans="1:31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31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5" t="s">
        <v>201</v>
      </c>
    </row>
    <row r="33" spans="1:16" ht="23.25" x14ac:dyDescent="0.35">
      <c r="A33" s="309" t="s">
        <v>28</v>
      </c>
      <c r="B33" s="352"/>
      <c r="C33" s="320"/>
      <c r="D33" s="320"/>
      <c r="E33" s="320"/>
      <c r="F33" s="320"/>
      <c r="G33" s="320"/>
      <c r="H33" s="569" t="s">
        <v>154</v>
      </c>
      <c r="I33" s="573"/>
      <c r="J33" s="573"/>
      <c r="K33" s="570"/>
      <c r="L33" s="307"/>
      <c r="M33" s="308"/>
      <c r="N33" s="481" t="s">
        <v>236</v>
      </c>
    </row>
    <row r="34" spans="1:16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69" t="s">
        <v>64</v>
      </c>
      <c r="I34" s="573"/>
      <c r="J34" s="573"/>
      <c r="K34" s="570"/>
      <c r="L34" s="307"/>
      <c r="M34" s="308"/>
    </row>
    <row r="35" spans="1:16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356</v>
      </c>
      <c r="K35" s="382"/>
      <c r="L35" s="307"/>
      <c r="M35" s="308"/>
    </row>
    <row r="36" spans="1:16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2</v>
      </c>
      <c r="K36" s="382" t="s">
        <v>61</v>
      </c>
      <c r="L36" s="307"/>
      <c r="M36" s="308"/>
    </row>
    <row r="37" spans="1:16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2</v>
      </c>
      <c r="K37" s="382" t="s">
        <v>61</v>
      </c>
      <c r="L37" s="307"/>
      <c r="M37" s="308"/>
    </row>
    <row r="38" spans="1:16" ht="23.25" x14ac:dyDescent="0.35">
      <c r="A38" s="309"/>
      <c r="B38" s="352"/>
      <c r="C38" s="320"/>
      <c r="D38" s="320"/>
      <c r="E38" s="320"/>
      <c r="F38" s="320"/>
      <c r="G38" s="320"/>
      <c r="H38" s="569"/>
      <c r="I38" s="323" t="s">
        <v>81</v>
      </c>
      <c r="J38" s="334">
        <f>J37*100/J36</f>
        <v>100</v>
      </c>
      <c r="K38" s="570" t="s">
        <v>51</v>
      </c>
      <c r="L38" s="307"/>
      <c r="M38" s="308"/>
    </row>
    <row r="39" spans="1:16" ht="23.25" x14ac:dyDescent="0.35">
      <c r="A39" s="325"/>
      <c r="B39" s="359"/>
      <c r="C39" s="310"/>
      <c r="D39" s="310"/>
      <c r="E39" s="310"/>
      <c r="F39" s="310"/>
      <c r="G39" s="310"/>
      <c r="H39" s="565"/>
      <c r="I39" s="423"/>
      <c r="J39" s="423"/>
      <c r="K39" s="424"/>
      <c r="L39" s="326"/>
      <c r="M39" s="299"/>
    </row>
    <row r="40" spans="1:16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4" t="s">
        <v>152</v>
      </c>
      <c r="I40" s="571"/>
      <c r="J40" s="571"/>
      <c r="K40" s="572"/>
      <c r="L40" s="304">
        <v>2</v>
      </c>
      <c r="M40" s="305">
        <f>IF(L40=0,"-",ROUND(L40*B40/B$83,4))</f>
        <v>0.125</v>
      </c>
      <c r="N40" s="425" t="s">
        <v>332</v>
      </c>
    </row>
    <row r="41" spans="1:16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3" t="s">
        <v>153</v>
      </c>
      <c r="I41" s="573"/>
      <c r="J41" s="573"/>
      <c r="K41" s="570"/>
      <c r="L41" s="307"/>
      <c r="M41" s="308"/>
      <c r="N41" s="481" t="s">
        <v>236</v>
      </c>
    </row>
    <row r="42" spans="1:16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3" t="s">
        <v>180</v>
      </c>
      <c r="I42" s="573"/>
      <c r="J42" s="573"/>
      <c r="K42" s="570"/>
      <c r="L42" s="307"/>
      <c r="M42" s="308"/>
    </row>
    <row r="43" spans="1:16" ht="23.25" x14ac:dyDescent="0.35">
      <c r="A43" s="309"/>
      <c r="B43" s="406"/>
      <c r="C43" s="336"/>
      <c r="D43" s="336"/>
      <c r="E43" s="336"/>
      <c r="F43" s="336"/>
      <c r="G43" s="390"/>
      <c r="H43" s="569"/>
      <c r="I43" s="323" t="s">
        <v>56</v>
      </c>
      <c r="J43" s="324">
        <v>75</v>
      </c>
      <c r="K43" s="570" t="s">
        <v>51</v>
      </c>
      <c r="L43" s="307"/>
      <c r="M43" s="308"/>
    </row>
    <row r="44" spans="1:16" ht="23.25" x14ac:dyDescent="0.35">
      <c r="A44" s="325"/>
      <c r="B44" s="359"/>
      <c r="C44" s="310"/>
      <c r="D44" s="310"/>
      <c r="E44" s="310"/>
      <c r="F44" s="310"/>
      <c r="G44" s="310"/>
      <c r="H44" s="565"/>
      <c r="I44" s="566"/>
      <c r="J44" s="566"/>
      <c r="K44" s="567"/>
      <c r="L44" s="326"/>
      <c r="M44" s="299"/>
    </row>
    <row r="45" spans="1:16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4" t="s">
        <v>186</v>
      </c>
      <c r="I45" s="571"/>
      <c r="J45" s="571"/>
      <c r="K45" s="572"/>
      <c r="L45" s="304">
        <v>1</v>
      </c>
      <c r="M45" s="305">
        <f>IF(L45=0,"-",ROUND(L45*B45/B$83,4))</f>
        <v>0.1875</v>
      </c>
      <c r="N45" s="425" t="s">
        <v>199</v>
      </c>
      <c r="O45" s="292">
        <v>3</v>
      </c>
      <c r="P45" s="292">
        <v>1</v>
      </c>
    </row>
    <row r="46" spans="1:16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69" t="s">
        <v>196</v>
      </c>
      <c r="I46" s="573"/>
      <c r="J46" s="573"/>
      <c r="K46" s="570"/>
      <c r="L46" s="307"/>
      <c r="M46" s="308"/>
      <c r="N46" s="481" t="s">
        <v>236</v>
      </c>
      <c r="O46" s="545">
        <f>J49-72.45</f>
        <v>0.32788202914868236</v>
      </c>
      <c r="P46" s="292">
        <f>O46*P45/O45</f>
        <v>0.10929400971622745</v>
      </c>
    </row>
    <row r="47" spans="1:16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159870000</v>
      </c>
      <c r="K47" s="570" t="s">
        <v>187</v>
      </c>
      <c r="L47" s="307"/>
      <c r="M47" s="308"/>
    </row>
    <row r="48" spans="1:16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116350000</v>
      </c>
      <c r="K48" s="570" t="s">
        <v>187</v>
      </c>
      <c r="L48" s="307"/>
      <c r="M48" s="308"/>
    </row>
    <row r="49" spans="1:16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72.777882029148685</v>
      </c>
      <c r="K49" s="570" t="s">
        <v>51</v>
      </c>
      <c r="L49" s="307"/>
      <c r="M49" s="308"/>
    </row>
    <row r="50" spans="1:16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6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4" t="s">
        <v>156</v>
      </c>
      <c r="I51" s="571"/>
      <c r="J51" s="571"/>
      <c r="K51" s="572"/>
      <c r="L51" s="304">
        <v>1</v>
      </c>
      <c r="M51" s="305">
        <f>IF(L51=0,"-",ROUND(L51*B51/B$83,4))</f>
        <v>6.25E-2</v>
      </c>
      <c r="N51" s="425" t="s">
        <v>337</v>
      </c>
    </row>
    <row r="52" spans="1:16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69" t="s">
        <v>104</v>
      </c>
      <c r="I52" s="573"/>
      <c r="J52" s="573"/>
      <c r="K52" s="570"/>
      <c r="L52" s="307"/>
      <c r="M52" s="308"/>
      <c r="N52" s="481" t="s">
        <v>236</v>
      </c>
    </row>
    <row r="53" spans="1:16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69" t="s">
        <v>105</v>
      </c>
      <c r="I53" s="573"/>
      <c r="J53" s="573"/>
      <c r="K53" s="570"/>
      <c r="L53" s="307"/>
      <c r="M53" s="308"/>
    </row>
    <row r="54" spans="1:16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0" t="s">
        <v>51</v>
      </c>
      <c r="L54" s="307"/>
      <c r="M54" s="308"/>
    </row>
    <row r="55" spans="1:16" ht="23.25" x14ac:dyDescent="0.35">
      <c r="A55" s="325"/>
      <c r="B55" s="359"/>
      <c r="C55" s="310"/>
      <c r="D55" s="310"/>
      <c r="E55" s="310"/>
      <c r="F55" s="310"/>
      <c r="G55" s="415"/>
      <c r="H55" s="891" t="s">
        <v>211</v>
      </c>
      <c r="I55" s="892"/>
      <c r="J55" s="892"/>
      <c r="K55" s="893"/>
      <c r="L55" s="326"/>
      <c r="M55" s="299"/>
    </row>
    <row r="56" spans="1:16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4" t="s">
        <v>108</v>
      </c>
      <c r="I56" s="571"/>
      <c r="J56" s="571"/>
      <c r="K56" s="572"/>
      <c r="L56" s="304">
        <v>2</v>
      </c>
      <c r="M56" s="305">
        <f>IF(L56=0,"-",ROUND(L56*B56/B$83,4))</f>
        <v>0.125</v>
      </c>
      <c r="N56" s="425" t="s">
        <v>332</v>
      </c>
    </row>
    <row r="57" spans="1:16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69" t="s">
        <v>146</v>
      </c>
      <c r="I57" s="573"/>
      <c r="J57" s="573"/>
      <c r="K57" s="570"/>
      <c r="L57" s="307"/>
      <c r="M57" s="308"/>
      <c r="N57" s="481" t="s">
        <v>236</v>
      </c>
    </row>
    <row r="58" spans="1:16" ht="23.25" x14ac:dyDescent="0.35">
      <c r="A58" s="309"/>
      <c r="B58" s="352"/>
      <c r="C58" s="344"/>
      <c r="D58" s="344"/>
      <c r="E58" s="344"/>
      <c r="F58" s="344"/>
      <c r="G58" s="344"/>
      <c r="H58" s="569" t="s">
        <v>110</v>
      </c>
      <c r="I58" s="573"/>
      <c r="J58" s="573"/>
      <c r="K58" s="570"/>
      <c r="L58" s="307"/>
      <c r="M58" s="308"/>
    </row>
    <row r="59" spans="1:16" ht="23.25" x14ac:dyDescent="0.35">
      <c r="A59" s="309"/>
      <c r="B59" s="352"/>
      <c r="C59" s="344"/>
      <c r="D59" s="344"/>
      <c r="E59" s="344"/>
      <c r="F59" s="344"/>
      <c r="G59" s="344"/>
      <c r="H59" s="569" t="s">
        <v>191</v>
      </c>
      <c r="I59" s="573"/>
      <c r="J59" s="573"/>
      <c r="K59" s="570"/>
      <c r="L59" s="307"/>
      <c r="M59" s="308"/>
    </row>
    <row r="60" spans="1:16" ht="23.25" x14ac:dyDescent="0.35">
      <c r="A60" s="309"/>
      <c r="B60" s="352"/>
      <c r="C60" s="344"/>
      <c r="D60" s="344"/>
      <c r="E60" s="344"/>
      <c r="F60" s="344"/>
      <c r="G60" s="344"/>
      <c r="H60" s="569"/>
      <c r="I60" s="323" t="s">
        <v>112</v>
      </c>
      <c r="J60" s="324">
        <v>2</v>
      </c>
      <c r="K60" s="382"/>
      <c r="L60" s="307"/>
      <c r="M60" s="308"/>
    </row>
    <row r="61" spans="1:16" ht="23.25" x14ac:dyDescent="0.35">
      <c r="A61" s="325"/>
      <c r="B61" s="359"/>
      <c r="C61" s="310"/>
      <c r="D61" s="310"/>
      <c r="E61" s="310"/>
      <c r="F61" s="310"/>
      <c r="G61" s="310"/>
      <c r="H61" s="891"/>
      <c r="I61" s="892"/>
      <c r="J61" s="892"/>
      <c r="K61" s="893"/>
      <c r="L61" s="326"/>
      <c r="M61" s="299"/>
    </row>
    <row r="62" spans="1:16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4" t="s">
        <v>123</v>
      </c>
      <c r="I62" s="571"/>
      <c r="J62" s="571"/>
      <c r="K62" s="572"/>
      <c r="L62" s="304">
        <v>5</v>
      </c>
      <c r="M62" s="305">
        <f>IF(L62=0,"-",ROUND(L62*B62/B$83,4))</f>
        <v>0.3125</v>
      </c>
      <c r="N62" s="425" t="s">
        <v>202</v>
      </c>
      <c r="O62" s="292">
        <v>30</v>
      </c>
      <c r="P62" s="292">
        <v>1</v>
      </c>
    </row>
    <row r="63" spans="1:16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69" t="s">
        <v>124</v>
      </c>
      <c r="I63" s="322"/>
      <c r="J63" s="353"/>
      <c r="K63" s="354"/>
      <c r="L63" s="355"/>
      <c r="M63" s="308"/>
      <c r="N63" s="481" t="s">
        <v>236</v>
      </c>
      <c r="O63" s="292">
        <v>18</v>
      </c>
      <c r="P63" s="292">
        <f>P62*O63/O62</f>
        <v>0.6</v>
      </c>
    </row>
    <row r="64" spans="1:16" ht="23.25" x14ac:dyDescent="0.35">
      <c r="A64" s="351"/>
      <c r="B64" s="352"/>
      <c r="C64" s="320"/>
      <c r="D64" s="320"/>
      <c r="E64" s="320"/>
      <c r="F64" s="320"/>
      <c r="G64" s="320"/>
      <c r="H64" s="573" t="s">
        <v>125</v>
      </c>
      <c r="I64" s="322"/>
      <c r="J64" s="353"/>
      <c r="K64" s="354"/>
      <c r="L64" s="355"/>
      <c r="M64" s="308"/>
    </row>
    <row r="65" spans="1:16" ht="23.25" x14ac:dyDescent="0.35">
      <c r="A65" s="351"/>
      <c r="B65" s="352"/>
      <c r="C65" s="320"/>
      <c r="D65" s="320"/>
      <c r="E65" s="320"/>
      <c r="F65" s="320"/>
      <c r="G65" s="320"/>
      <c r="H65" s="569" t="s">
        <v>126</v>
      </c>
      <c r="I65" s="322"/>
      <c r="J65" s="353"/>
      <c r="K65" s="354"/>
      <c r="L65" s="355"/>
      <c r="M65" s="308"/>
    </row>
    <row r="66" spans="1:16" ht="23.25" x14ac:dyDescent="0.35">
      <c r="A66" s="351"/>
      <c r="B66" s="352"/>
      <c r="C66" s="320"/>
      <c r="D66" s="320"/>
      <c r="E66" s="320"/>
      <c r="F66" s="320"/>
      <c r="G66" s="320"/>
      <c r="H66" s="569" t="s">
        <v>127</v>
      </c>
      <c r="I66" s="322"/>
      <c r="J66" s="353"/>
      <c r="K66" s="354"/>
      <c r="L66" s="355"/>
      <c r="M66" s="308"/>
    </row>
    <row r="67" spans="1:16" ht="23.25" x14ac:dyDescent="0.35">
      <c r="A67" s="351"/>
      <c r="B67" s="352"/>
      <c r="C67" s="320"/>
      <c r="D67" s="320"/>
      <c r="E67" s="320"/>
      <c r="F67" s="320"/>
      <c r="G67" s="320"/>
      <c r="H67" s="569"/>
      <c r="I67" s="323" t="s">
        <v>114</v>
      </c>
      <c r="J67" s="408">
        <f>สพญ.!S95</f>
        <v>100</v>
      </c>
      <c r="K67" s="382" t="s">
        <v>51</v>
      </c>
      <c r="L67" s="355"/>
      <c r="M67" s="308"/>
    </row>
    <row r="68" spans="1:16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6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4" t="s">
        <v>157</v>
      </c>
      <c r="I69" s="571"/>
      <c r="J69" s="571"/>
      <c r="K69" s="572"/>
      <c r="L69" s="304">
        <v>4.9539999999999997</v>
      </c>
      <c r="M69" s="305">
        <f>IF(L69=0,"-",ROUND(L69*B69/B$83,4))</f>
        <v>0.30959999999999999</v>
      </c>
      <c r="N69" s="425" t="s">
        <v>347</v>
      </c>
      <c r="O69" s="292">
        <v>5</v>
      </c>
      <c r="P69" s="292">
        <v>1</v>
      </c>
    </row>
    <row r="70" spans="1:16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69" t="s">
        <v>158</v>
      </c>
      <c r="I70" s="573"/>
      <c r="J70" s="573"/>
      <c r="K70" s="570"/>
      <c r="L70" s="362"/>
      <c r="M70" s="308"/>
      <c r="N70" s="481" t="s">
        <v>236</v>
      </c>
      <c r="O70" s="542">
        <f>J74-95</f>
        <v>4.769999999999996</v>
      </c>
      <c r="P70" s="292">
        <f>P69*O70/O69</f>
        <v>0.95399999999999918</v>
      </c>
    </row>
    <row r="71" spans="1:16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69" t="s">
        <v>197</v>
      </c>
      <c r="I71" s="573"/>
      <c r="J71" s="573"/>
      <c r="K71" s="570"/>
      <c r="L71" s="362"/>
      <c r="M71" s="308"/>
    </row>
    <row r="72" spans="1:16" ht="23.25" x14ac:dyDescent="0.35">
      <c r="A72" s="309"/>
      <c r="B72" s="352"/>
      <c r="C72" s="320"/>
      <c r="D72" s="320"/>
      <c r="E72" s="320"/>
      <c r="F72" s="320"/>
      <c r="G72" s="320"/>
      <c r="H72" s="569" t="s">
        <v>120</v>
      </c>
      <c r="I72" s="573"/>
      <c r="J72" s="573"/>
      <c r="K72" s="570"/>
      <c r="L72" s="362"/>
      <c r="M72" s="308"/>
    </row>
    <row r="73" spans="1:16" ht="23.25" x14ac:dyDescent="0.35">
      <c r="A73" s="309"/>
      <c r="B73" s="352"/>
      <c r="C73" s="320"/>
      <c r="D73" s="320"/>
      <c r="E73" s="320"/>
      <c r="F73" s="320"/>
      <c r="G73" s="320"/>
      <c r="H73" s="569" t="s">
        <v>194</v>
      </c>
      <c r="I73" s="573"/>
      <c r="J73" s="573"/>
      <c r="K73" s="570"/>
      <c r="L73" s="362"/>
      <c r="M73" s="308"/>
    </row>
    <row r="74" spans="1:16" ht="23.25" x14ac:dyDescent="0.35">
      <c r="A74" s="309"/>
      <c r="B74" s="352"/>
      <c r="C74" s="320"/>
      <c r="D74" s="320"/>
      <c r="E74" s="320"/>
      <c r="F74" s="320"/>
      <c r="G74" s="344"/>
      <c r="H74" s="569" t="s">
        <v>195</v>
      </c>
      <c r="I74" s="345"/>
      <c r="J74" s="408">
        <v>99.77</v>
      </c>
      <c r="K74" s="413" t="s">
        <v>51</v>
      </c>
      <c r="L74" s="412"/>
      <c r="M74" s="308"/>
    </row>
    <row r="75" spans="1:16" ht="23.25" x14ac:dyDescent="0.35">
      <c r="A75" s="358"/>
      <c r="B75" s="414"/>
      <c r="C75" s="411"/>
      <c r="D75" s="411"/>
      <c r="E75" s="411"/>
      <c r="F75" s="411"/>
      <c r="G75" s="329"/>
      <c r="H75" s="576"/>
      <c r="I75" s="582"/>
      <c r="J75" s="583"/>
      <c r="K75" s="584"/>
      <c r="L75" s="416"/>
      <c r="M75" s="308"/>
    </row>
    <row r="76" spans="1:16" ht="23.25" x14ac:dyDescent="0.35">
      <c r="A76" s="351" t="s">
        <v>324</v>
      </c>
      <c r="B76" s="585">
        <v>4</v>
      </c>
      <c r="C76" s="586">
        <v>0.4</v>
      </c>
      <c r="D76" s="586">
        <v>0.45</v>
      </c>
      <c r="E76" s="586">
        <v>0.5</v>
      </c>
      <c r="F76" s="586">
        <v>0.55000000000000004</v>
      </c>
      <c r="G76" s="586">
        <v>0.6</v>
      </c>
      <c r="H76" s="569" t="s">
        <v>325</v>
      </c>
      <c r="I76" s="345"/>
      <c r="J76" s="587"/>
      <c r="K76" s="588"/>
      <c r="L76" s="412">
        <v>4</v>
      </c>
      <c r="M76" s="305">
        <f>IF(L76=0,"-",ROUND(L76*B76/B$83,4))</f>
        <v>0.25</v>
      </c>
      <c r="N76" s="425" t="s">
        <v>332</v>
      </c>
    </row>
    <row r="77" spans="1:16" ht="23.25" x14ac:dyDescent="0.35">
      <c r="A77" s="351" t="s">
        <v>326</v>
      </c>
      <c r="B77" s="406"/>
      <c r="C77" s="311"/>
      <c r="D77" s="311"/>
      <c r="E77" s="311"/>
      <c r="F77" s="311"/>
      <c r="G77" s="333"/>
      <c r="H77" s="569" t="s">
        <v>327</v>
      </c>
      <c r="I77" s="345"/>
      <c r="J77" s="587"/>
      <c r="K77" s="588"/>
      <c r="L77" s="412"/>
      <c r="M77" s="308"/>
      <c r="N77" s="481" t="s">
        <v>236</v>
      </c>
    </row>
    <row r="78" spans="1:16" ht="23.25" x14ac:dyDescent="0.35">
      <c r="A78" s="351"/>
      <c r="B78" s="406"/>
      <c r="C78" s="311"/>
      <c r="D78" s="311"/>
      <c r="E78" s="311"/>
      <c r="F78" s="311"/>
      <c r="G78" s="333"/>
      <c r="H78" s="569"/>
      <c r="I78" s="345"/>
      <c r="J78" s="587"/>
      <c r="K78" s="588"/>
      <c r="L78" s="412"/>
      <c r="M78" s="308"/>
    </row>
    <row r="79" spans="1:16" ht="23.25" x14ac:dyDescent="0.35">
      <c r="A79" s="351"/>
      <c r="B79" s="406"/>
      <c r="C79" s="311"/>
      <c r="D79" s="311"/>
      <c r="E79" s="311"/>
      <c r="F79" s="311"/>
      <c r="G79" s="333"/>
      <c r="H79" s="569"/>
      <c r="I79" s="345" t="s">
        <v>174</v>
      </c>
      <c r="J79" s="589">
        <v>55</v>
      </c>
      <c r="K79" s="413" t="s">
        <v>51</v>
      </c>
      <c r="L79" s="412"/>
      <c r="M79" s="308"/>
    </row>
    <row r="80" spans="1:16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69"/>
      <c r="I81" s="345"/>
      <c r="J81" s="587"/>
      <c r="K81" s="588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6"/>
      <c r="I82" s="345"/>
      <c r="J82" s="587"/>
      <c r="K82" s="584"/>
      <c r="L82" s="412"/>
      <c r="M82" s="308"/>
    </row>
    <row r="83" spans="1:13" ht="26.25" x14ac:dyDescent="0.4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3.0299</v>
      </c>
    </row>
  </sheetData>
  <mergeCells count="22">
    <mergeCell ref="S26:T26"/>
    <mergeCell ref="S27:T27"/>
    <mergeCell ref="H55:K55"/>
    <mergeCell ref="H61:K61"/>
    <mergeCell ref="H13:K13"/>
    <mergeCell ref="T13:U13"/>
    <mergeCell ref="H14:K14"/>
    <mergeCell ref="T14:U14"/>
    <mergeCell ref="H15:K15"/>
    <mergeCell ref="H20:K20"/>
    <mergeCell ref="T12:U12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7.140625" style="292" bestFit="1" customWidth="1"/>
    <col min="17" max="18" width="15" style="292" bestFit="1" customWidth="1"/>
    <col min="19" max="19" width="9.140625" style="292"/>
    <col min="20" max="21" width="15" style="292" bestFit="1" customWidth="1"/>
    <col min="22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400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401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28" ht="24" customHeight="1" x14ac:dyDescent="0.35">
      <c r="A6" s="302" t="s">
        <v>165</v>
      </c>
      <c r="B6" s="391">
        <v>12</v>
      </c>
      <c r="C6" s="313">
        <v>2971</v>
      </c>
      <c r="D6" s="313">
        <v>3057</v>
      </c>
      <c r="E6" s="313">
        <v>3143</v>
      </c>
      <c r="F6" s="313">
        <v>3229</v>
      </c>
      <c r="G6" s="313">
        <v>3314</v>
      </c>
      <c r="H6" s="932" t="s">
        <v>14</v>
      </c>
      <c r="I6" s="933"/>
      <c r="J6" s="935" t="s">
        <v>15</v>
      </c>
      <c r="K6" s="936"/>
      <c r="L6" s="304">
        <f>สพญ.!L12</f>
        <v>2.1884831460674166</v>
      </c>
      <c r="M6" s="305">
        <f>IF(L6=0,"-",ROUND(L6*B6/B$82,4))</f>
        <v>0.32829999999999998</v>
      </c>
      <c r="N6" s="425" t="s">
        <v>360</v>
      </c>
    </row>
    <row r="7" spans="1:28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934"/>
      <c r="I7" s="909"/>
      <c r="J7" s="568" t="s">
        <v>17</v>
      </c>
      <c r="K7" s="568" t="s">
        <v>18</v>
      </c>
      <c r="L7" s="307"/>
      <c r="M7" s="308"/>
      <c r="N7" s="425" t="s">
        <v>236</v>
      </c>
      <c r="O7" s="431"/>
      <c r="P7" s="543"/>
      <c r="Q7" s="315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569" t="s">
        <v>167</v>
      </c>
      <c r="I8" s="570"/>
      <c r="J8" s="400">
        <v>3500</v>
      </c>
      <c r="K8" s="427">
        <f>สพญ.!K17</f>
        <v>2608.5500000000002</v>
      </c>
      <c r="L8" s="307"/>
      <c r="M8" s="308"/>
      <c r="N8" s="425"/>
      <c r="O8" s="616"/>
      <c r="P8" s="543"/>
      <c r="Q8" s="315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</row>
    <row r="9" spans="1:28" ht="24" customHeight="1" x14ac:dyDescent="0.35">
      <c r="A9" s="309"/>
      <c r="B9" s="399"/>
      <c r="C9" s="320"/>
      <c r="D9" s="320"/>
      <c r="E9" s="320"/>
      <c r="F9" s="320"/>
      <c r="G9" s="320"/>
      <c r="H9" s="880" t="s">
        <v>168</v>
      </c>
      <c r="I9" s="881"/>
      <c r="J9" s="400"/>
      <c r="K9" s="321"/>
      <c r="L9" s="307"/>
      <c r="M9" s="308"/>
      <c r="N9" s="425"/>
      <c r="O9" s="616"/>
      <c r="P9" s="543"/>
      <c r="Q9" s="315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</row>
    <row r="10" spans="1:28" ht="24" customHeight="1" x14ac:dyDescent="0.35">
      <c r="A10" s="309"/>
      <c r="B10" s="399"/>
      <c r="C10" s="320"/>
      <c r="D10" s="320"/>
      <c r="E10" s="320"/>
      <c r="F10" s="320"/>
      <c r="G10" s="320"/>
      <c r="H10" s="889"/>
      <c r="I10" s="890"/>
      <c r="J10" s="400"/>
      <c r="K10" s="321"/>
      <c r="L10" s="307"/>
      <c r="M10" s="308"/>
      <c r="N10" s="425"/>
      <c r="O10" s="431"/>
      <c r="P10" s="543"/>
      <c r="Q10" s="315"/>
      <c r="R10" s="545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</row>
    <row r="11" spans="1:28" ht="24" customHeight="1" thickBot="1" x14ac:dyDescent="0.4">
      <c r="A11" s="309"/>
      <c r="B11" s="399"/>
      <c r="C11" s="320"/>
      <c r="D11" s="320"/>
      <c r="E11" s="320"/>
      <c r="F11" s="320"/>
      <c r="G11" s="320"/>
      <c r="H11" s="937" t="s">
        <v>20</v>
      </c>
      <c r="I11" s="938"/>
      <c r="J11" s="401">
        <f>SUM(J8:J10)</f>
        <v>3500</v>
      </c>
      <c r="K11" s="428">
        <f>K8</f>
        <v>2608.5500000000002</v>
      </c>
      <c r="L11" s="307"/>
      <c r="M11" s="308"/>
      <c r="N11" s="425"/>
      <c r="O11" s="432" t="s">
        <v>361</v>
      </c>
      <c r="Q11" s="453">
        <v>249419650</v>
      </c>
      <c r="R11" s="620">
        <v>79.709999999999994</v>
      </c>
      <c r="S11" s="356"/>
      <c r="T11" s="356"/>
      <c r="U11" s="356"/>
      <c r="V11" s="356"/>
      <c r="W11" s="356"/>
      <c r="X11" s="356"/>
      <c r="Y11" s="356"/>
      <c r="Z11" s="356"/>
      <c r="AA11" s="356"/>
      <c r="AB11" s="356"/>
    </row>
    <row r="12" spans="1:28" ht="24" customHeight="1" thickTop="1" x14ac:dyDescent="0.35">
      <c r="A12" s="302" t="s">
        <v>169</v>
      </c>
      <c r="B12" s="391">
        <v>4</v>
      </c>
      <c r="C12" s="303">
        <v>0.65</v>
      </c>
      <c r="D12" s="303">
        <v>0.7</v>
      </c>
      <c r="E12" s="303">
        <v>0.75</v>
      </c>
      <c r="F12" s="303">
        <v>0.8</v>
      </c>
      <c r="G12" s="303">
        <v>0.85</v>
      </c>
      <c r="H12" s="894" t="s">
        <v>141</v>
      </c>
      <c r="I12" s="895"/>
      <c r="J12" s="895"/>
      <c r="K12" s="896"/>
      <c r="L12" s="304">
        <v>4.8018999999999998</v>
      </c>
      <c r="M12" s="305">
        <f>IF(L12=0,"-",ROUND(L12*B12/B$82,4))</f>
        <v>0.24010000000000001</v>
      </c>
      <c r="N12" s="425" t="s">
        <v>337</v>
      </c>
      <c r="O12" s="432" t="s">
        <v>362</v>
      </c>
      <c r="Q12" s="453">
        <v>98622800</v>
      </c>
      <c r="R12" s="620">
        <v>53.06</v>
      </c>
      <c r="S12" s="356"/>
      <c r="T12" s="356"/>
      <c r="U12" s="356"/>
      <c r="V12" s="356"/>
      <c r="W12" s="356"/>
      <c r="X12" s="356"/>
      <c r="Y12" s="356"/>
      <c r="Z12" s="356"/>
      <c r="AA12" s="356"/>
      <c r="AB12" s="356"/>
    </row>
    <row r="13" spans="1:28" ht="24" customHeight="1" x14ac:dyDescent="0.35">
      <c r="A13" s="309" t="s">
        <v>44</v>
      </c>
      <c r="B13" s="399"/>
      <c r="C13" s="320"/>
      <c r="D13" s="320"/>
      <c r="E13" s="320"/>
      <c r="F13" s="320"/>
      <c r="G13" s="320"/>
      <c r="H13" s="880" t="s">
        <v>142</v>
      </c>
      <c r="I13" s="887"/>
      <c r="J13" s="887"/>
      <c r="K13" s="881"/>
      <c r="L13" s="307"/>
      <c r="M13" s="308"/>
      <c r="N13" s="425" t="s">
        <v>236</v>
      </c>
      <c r="O13" s="432" t="s">
        <v>363</v>
      </c>
      <c r="Q13" s="453">
        <v>23151000</v>
      </c>
      <c r="R13" s="620">
        <v>68.147000000000006</v>
      </c>
      <c r="S13" s="356"/>
      <c r="T13" s="356"/>
      <c r="U13" s="356"/>
      <c r="V13" s="356"/>
      <c r="W13" s="356"/>
      <c r="X13" s="356"/>
      <c r="Y13" s="356"/>
      <c r="Z13" s="356"/>
      <c r="AA13" s="356"/>
      <c r="AB13" s="356"/>
    </row>
    <row r="14" spans="1:28" ht="24" customHeight="1" x14ac:dyDescent="0.35">
      <c r="A14" s="309"/>
      <c r="B14" s="399"/>
      <c r="C14" s="320"/>
      <c r="D14" s="320"/>
      <c r="E14" s="320"/>
      <c r="F14" s="320"/>
      <c r="G14" s="320"/>
      <c r="H14" s="880" t="s">
        <v>143</v>
      </c>
      <c r="I14" s="887"/>
      <c r="J14" s="887"/>
      <c r="K14" s="881"/>
      <c r="L14" s="307"/>
      <c r="M14" s="308"/>
      <c r="N14" s="425"/>
      <c r="O14" s="432" t="s">
        <v>364</v>
      </c>
      <c r="Q14" s="453">
        <v>188867200</v>
      </c>
      <c r="R14" s="620">
        <v>5.1020000000000003</v>
      </c>
    </row>
    <row r="15" spans="1:28" ht="23.25" x14ac:dyDescent="0.35">
      <c r="A15" s="309"/>
      <c r="B15" s="399"/>
      <c r="C15" s="320"/>
      <c r="D15" s="320"/>
      <c r="E15" s="320"/>
      <c r="F15" s="320"/>
      <c r="G15" s="320"/>
      <c r="H15" s="880" t="s">
        <v>144</v>
      </c>
      <c r="I15" s="887"/>
      <c r="J15" s="887"/>
      <c r="K15" s="881"/>
      <c r="L15" s="307"/>
      <c r="M15" s="308"/>
      <c r="N15" s="425"/>
      <c r="P15" s="292" t="s">
        <v>344</v>
      </c>
      <c r="Q15" s="447">
        <f>Q13+Q12+Q11</f>
        <v>371193450</v>
      </c>
      <c r="R15" s="545"/>
    </row>
    <row r="16" spans="1:28" ht="23.25" x14ac:dyDescent="0.35">
      <c r="A16" s="309"/>
      <c r="B16" s="399"/>
      <c r="C16" s="320"/>
      <c r="D16" s="320"/>
      <c r="E16" s="320"/>
      <c r="F16" s="320"/>
      <c r="G16" s="320"/>
      <c r="H16" s="880" t="s">
        <v>170</v>
      </c>
      <c r="I16" s="887"/>
      <c r="J16" s="887"/>
      <c r="K16" s="881"/>
      <c r="L16" s="307"/>
      <c r="M16" s="308"/>
      <c r="N16" s="425"/>
      <c r="Q16" s="432">
        <f>((R11*Q11)+(R12*Q12)+(R13*Q13))/Q15</f>
        <v>71.908158041312419</v>
      </c>
      <c r="R16" s="292" t="s">
        <v>51</v>
      </c>
    </row>
    <row r="17" spans="1:28" ht="23.25" x14ac:dyDescent="0.35">
      <c r="A17" s="309"/>
      <c r="B17" s="399"/>
      <c r="C17" s="320"/>
      <c r="D17" s="320"/>
      <c r="E17" s="320"/>
      <c r="F17" s="320"/>
      <c r="G17" s="320"/>
      <c r="I17" s="323" t="s">
        <v>54</v>
      </c>
      <c r="J17" s="324">
        <v>84.01</v>
      </c>
      <c r="K17" s="570" t="s">
        <v>51</v>
      </c>
      <c r="L17" s="307"/>
      <c r="M17" s="308"/>
      <c r="N17" s="425"/>
    </row>
    <row r="18" spans="1:28" ht="23.25" x14ac:dyDescent="0.35">
      <c r="A18" s="325"/>
      <c r="B18" s="402"/>
      <c r="C18" s="310"/>
      <c r="D18" s="310"/>
      <c r="E18" s="310"/>
      <c r="F18" s="310"/>
      <c r="G18" s="310"/>
      <c r="H18" s="891" t="s">
        <v>316</v>
      </c>
      <c r="I18" s="892"/>
      <c r="J18" s="892"/>
      <c r="K18" s="893"/>
      <c r="L18" s="326"/>
      <c r="M18" s="299"/>
      <c r="N18" s="425"/>
      <c r="Q18" s="568" t="s">
        <v>320</v>
      </c>
      <c r="R18" s="568" t="s">
        <v>238</v>
      </c>
      <c r="T18" s="441"/>
      <c r="U18" s="441"/>
      <c r="V18" s="441"/>
    </row>
    <row r="19" spans="1:28" ht="23.25" x14ac:dyDescent="0.35">
      <c r="A19" s="302" t="s">
        <v>53</v>
      </c>
      <c r="B19" s="403">
        <v>12</v>
      </c>
      <c r="C19" s="303">
        <v>0.6</v>
      </c>
      <c r="D19" s="303">
        <v>0.7</v>
      </c>
      <c r="E19" s="303">
        <v>0.8</v>
      </c>
      <c r="F19" s="303">
        <v>0.9</v>
      </c>
      <c r="G19" s="303">
        <v>1</v>
      </c>
      <c r="H19" s="895" t="s">
        <v>171</v>
      </c>
      <c r="I19" s="895"/>
      <c r="J19" s="895"/>
      <c r="K19" s="896"/>
      <c r="L19" s="304">
        <f>2+O24</f>
        <v>4.3294525861515067</v>
      </c>
      <c r="M19" s="305">
        <f>IF(L19=0,"-",ROUND(L19*B19/B$82,4))</f>
        <v>0.64939999999999998</v>
      </c>
      <c r="N19" s="425" t="s">
        <v>199</v>
      </c>
      <c r="O19" s="432" t="s">
        <v>361</v>
      </c>
      <c r="Q19" s="453">
        <f>สพญ.!R18</f>
        <v>249419650</v>
      </c>
      <c r="R19" s="610">
        <f>สพญ.!S18</f>
        <v>99.185000000000002</v>
      </c>
      <c r="S19" s="292" t="s">
        <v>51</v>
      </c>
      <c r="T19" s="636" t="s">
        <v>213</v>
      </c>
      <c r="U19" s="603" t="s">
        <v>499</v>
      </c>
      <c r="V19" s="442"/>
      <c r="AB19" s="292">
        <v>100</v>
      </c>
    </row>
    <row r="20" spans="1:28" ht="23.25" x14ac:dyDescent="0.35">
      <c r="A20" s="309" t="s">
        <v>21</v>
      </c>
      <c r="B20" s="352"/>
      <c r="C20" s="320"/>
      <c r="D20" s="320"/>
      <c r="E20" s="320"/>
      <c r="F20" s="320"/>
      <c r="G20" s="320"/>
      <c r="H20" s="880" t="s">
        <v>83</v>
      </c>
      <c r="I20" s="887"/>
      <c r="J20" s="887"/>
      <c r="K20" s="881"/>
      <c r="L20" s="307"/>
      <c r="M20" s="308"/>
      <c r="N20" s="425" t="s">
        <v>236</v>
      </c>
      <c r="O20" s="432" t="s">
        <v>362</v>
      </c>
      <c r="Q20" s="453">
        <f>สพญ.!R19</f>
        <v>98622800</v>
      </c>
      <c r="R20" s="610">
        <f>สพญ.!S19</f>
        <v>74.53</v>
      </c>
      <c r="S20" s="292" t="s">
        <v>51</v>
      </c>
      <c r="T20" s="636" t="s">
        <v>213</v>
      </c>
      <c r="U20" s="603" t="s">
        <v>500</v>
      </c>
      <c r="V20" s="442"/>
      <c r="AB20" s="292">
        <v>99.388999999999996</v>
      </c>
    </row>
    <row r="21" spans="1:28" ht="23.25" x14ac:dyDescent="0.35">
      <c r="A21" s="309"/>
      <c r="B21" s="352"/>
      <c r="C21" s="320"/>
      <c r="D21" s="320"/>
      <c r="E21" s="320"/>
      <c r="F21" s="320"/>
      <c r="G21" s="320"/>
      <c r="H21" s="880" t="s">
        <v>172</v>
      </c>
      <c r="I21" s="887"/>
      <c r="J21" s="887"/>
      <c r="K21" s="881"/>
      <c r="L21" s="307"/>
      <c r="M21" s="308"/>
      <c r="N21" s="425"/>
      <c r="O21" s="432" t="s">
        <v>363</v>
      </c>
      <c r="Q21" s="453">
        <f>สพญ.!R20</f>
        <v>23151000</v>
      </c>
      <c r="R21" s="610">
        <f>สพญ.!S20</f>
        <v>68.147000000000006</v>
      </c>
      <c r="S21" s="292" t="s">
        <v>51</v>
      </c>
      <c r="T21" s="636" t="s">
        <v>213</v>
      </c>
      <c r="U21" s="603"/>
      <c r="V21" s="442"/>
      <c r="AB21" s="292">
        <f>(AB19+AB20)/2</f>
        <v>99.694500000000005</v>
      </c>
    </row>
    <row r="22" spans="1:28" ht="23.25" x14ac:dyDescent="0.35">
      <c r="A22" s="309"/>
      <c r="B22" s="352"/>
      <c r="C22" s="320"/>
      <c r="D22" s="320"/>
      <c r="E22" s="320"/>
      <c r="F22" s="320"/>
      <c r="G22" s="320"/>
      <c r="H22" s="380" t="s">
        <v>173</v>
      </c>
      <c r="I22" s="323"/>
      <c r="J22" s="328"/>
      <c r="K22" s="570"/>
      <c r="L22" s="307"/>
      <c r="M22" s="308"/>
      <c r="N22" s="425"/>
      <c r="O22" s="432" t="s">
        <v>364</v>
      </c>
      <c r="Q22" s="453">
        <f>สพญ.!R21</f>
        <v>188867200</v>
      </c>
      <c r="R22" s="610">
        <f>สพญ.!S21</f>
        <v>5.1020000000000003</v>
      </c>
      <c r="S22" s="292" t="s">
        <v>51</v>
      </c>
      <c r="T22" s="719" t="s">
        <v>469</v>
      </c>
      <c r="U22" s="603"/>
      <c r="V22" s="442"/>
    </row>
    <row r="23" spans="1:28" ht="23.25" x14ac:dyDescent="0.35">
      <c r="A23" s="309"/>
      <c r="B23" s="352"/>
      <c r="C23" s="320"/>
      <c r="D23" s="320"/>
      <c r="E23" s="320"/>
      <c r="F23" s="320"/>
      <c r="G23" s="320"/>
      <c r="H23" s="380"/>
      <c r="I23" s="323"/>
      <c r="J23" s="328"/>
      <c r="K23" s="570"/>
      <c r="L23" s="307"/>
      <c r="M23" s="308"/>
      <c r="N23" s="490">
        <v>10</v>
      </c>
      <c r="O23" s="637">
        <v>1</v>
      </c>
      <c r="P23" s="292" t="s">
        <v>344</v>
      </c>
      <c r="Q23" s="447">
        <f>Q21+Q20+Q19</f>
        <v>371193450</v>
      </c>
      <c r="R23" s="545"/>
    </row>
    <row r="24" spans="1:28" ht="23.25" x14ac:dyDescent="0.35">
      <c r="A24" s="309"/>
      <c r="B24" s="352"/>
      <c r="C24" s="320"/>
      <c r="D24" s="320"/>
      <c r="E24" s="320"/>
      <c r="F24" s="320"/>
      <c r="G24" s="320"/>
      <c r="H24" s="380"/>
      <c r="I24" s="323" t="s">
        <v>174</v>
      </c>
      <c r="J24" s="614">
        <f>Q24</f>
        <v>93.294525861515069</v>
      </c>
      <c r="K24" s="570" t="s">
        <v>51</v>
      </c>
      <c r="L24" s="307"/>
      <c r="M24" s="308"/>
      <c r="N24" s="638">
        <f>J24-70</f>
        <v>23.294525861515069</v>
      </c>
      <c r="O24" s="637">
        <f>O23*N24/N23</f>
        <v>2.3294525861515067</v>
      </c>
      <c r="Q24" s="639">
        <f>((R19*Q19)+(R20*Q20)+(R21*Q21)+(R22*Q22))/Q23</f>
        <v>93.294525861515069</v>
      </c>
      <c r="R24" s="292" t="s">
        <v>51</v>
      </c>
      <c r="T24" s="441"/>
      <c r="U24" s="441"/>
      <c r="V24" s="441"/>
      <c r="W24" s="441"/>
    </row>
    <row r="25" spans="1:28" ht="23.25" x14ac:dyDescent="0.35">
      <c r="A25" s="325"/>
      <c r="B25" s="359"/>
      <c r="C25" s="310"/>
      <c r="D25" s="310"/>
      <c r="E25" s="310"/>
      <c r="F25" s="310"/>
      <c r="G25" s="310"/>
      <c r="H25" s="329"/>
      <c r="I25" s="330"/>
      <c r="J25" s="404"/>
      <c r="K25" s="331"/>
      <c r="L25" s="326"/>
      <c r="M25" s="299"/>
      <c r="N25" s="425"/>
      <c r="Q25" s="568" t="s">
        <v>320</v>
      </c>
      <c r="R25" s="568" t="s">
        <v>238</v>
      </c>
      <c r="T25" s="441"/>
      <c r="U25" s="441"/>
      <c r="V25" s="441"/>
      <c r="W25" s="441"/>
    </row>
    <row r="26" spans="1:28" ht="23.25" x14ac:dyDescent="0.35">
      <c r="A26" s="302" t="s">
        <v>175</v>
      </c>
      <c r="B26" s="403">
        <v>12</v>
      </c>
      <c r="C26" s="303">
        <v>0.6</v>
      </c>
      <c r="D26" s="303">
        <v>0.7</v>
      </c>
      <c r="E26" s="303">
        <v>0.8</v>
      </c>
      <c r="F26" s="303">
        <v>0.9</v>
      </c>
      <c r="G26" s="303">
        <v>1</v>
      </c>
      <c r="H26" s="894" t="s">
        <v>176</v>
      </c>
      <c r="I26" s="895"/>
      <c r="J26" s="895"/>
      <c r="K26" s="896"/>
      <c r="L26" s="304">
        <f>2+O29</f>
        <v>1.8147000000000006</v>
      </c>
      <c r="M26" s="305">
        <f>IF(L26=0,"-",ROUND(L26*B26/B$82,4))</f>
        <v>0.2722</v>
      </c>
      <c r="N26" s="425" t="s">
        <v>199</v>
      </c>
      <c r="O26" s="292" t="s">
        <v>365</v>
      </c>
      <c r="Q26" s="621">
        <f>Q21</f>
        <v>23151000</v>
      </c>
      <c r="R26" s="610">
        <f>R21</f>
        <v>68.147000000000006</v>
      </c>
      <c r="S26" s="481" t="s">
        <v>213</v>
      </c>
      <c r="T26" s="442"/>
      <c r="U26" s="612"/>
      <c r="V26" s="442"/>
      <c r="W26" s="441"/>
    </row>
    <row r="27" spans="1:28" ht="23.25" x14ac:dyDescent="0.35">
      <c r="A27" s="309" t="s">
        <v>177</v>
      </c>
      <c r="B27" s="352"/>
      <c r="C27" s="320"/>
      <c r="D27" s="320"/>
      <c r="E27" s="320"/>
      <c r="F27" s="320"/>
      <c r="G27" s="320"/>
      <c r="H27" s="405" t="s">
        <v>178</v>
      </c>
      <c r="L27" s="307"/>
      <c r="M27" s="308"/>
      <c r="N27" s="425" t="s">
        <v>236</v>
      </c>
      <c r="O27" s="292" t="s">
        <v>366</v>
      </c>
      <c r="Q27" s="621">
        <f>Q22</f>
        <v>188867200</v>
      </c>
      <c r="R27" s="610">
        <f>R22</f>
        <v>5.1020000000000003</v>
      </c>
      <c r="S27" s="481" t="s">
        <v>213</v>
      </c>
      <c r="T27" s="719" t="s">
        <v>469</v>
      </c>
      <c r="U27" s="612"/>
      <c r="V27" s="442"/>
      <c r="W27" s="441"/>
    </row>
    <row r="28" spans="1:28" ht="23.25" x14ac:dyDescent="0.35">
      <c r="A28" s="309"/>
      <c r="B28" s="352"/>
      <c r="C28" s="320"/>
      <c r="D28" s="320"/>
      <c r="E28" s="320"/>
      <c r="F28" s="320"/>
      <c r="G28" s="320"/>
      <c r="H28" s="880" t="s">
        <v>83</v>
      </c>
      <c r="I28" s="887"/>
      <c r="J28" s="887"/>
      <c r="K28" s="881"/>
      <c r="L28" s="307"/>
      <c r="M28" s="308"/>
      <c r="N28" s="292">
        <v>10</v>
      </c>
      <c r="O28" s="431">
        <v>1</v>
      </c>
      <c r="P28" s="292" t="s">
        <v>344</v>
      </c>
      <c r="Q28" s="447">
        <f>Q26</f>
        <v>23151000</v>
      </c>
      <c r="R28" s="762"/>
      <c r="T28" s="441"/>
      <c r="U28" s="441"/>
      <c r="V28" s="441"/>
      <c r="W28" s="441"/>
    </row>
    <row r="29" spans="1:28" ht="23.25" x14ac:dyDescent="0.35">
      <c r="A29" s="309"/>
      <c r="B29" s="352"/>
      <c r="C29" s="320"/>
      <c r="D29" s="320"/>
      <c r="E29" s="320"/>
      <c r="F29" s="320"/>
      <c r="G29" s="320"/>
      <c r="H29" s="569" t="s">
        <v>172</v>
      </c>
      <c r="I29" s="573"/>
      <c r="J29" s="573"/>
      <c r="K29" s="570"/>
      <c r="L29" s="307"/>
      <c r="M29" s="308"/>
      <c r="N29" s="540">
        <f>J31-70</f>
        <v>-1.8529999999999944</v>
      </c>
      <c r="O29" s="640">
        <f>O28*N29/N28</f>
        <v>-0.18529999999999944</v>
      </c>
      <c r="Q29" s="432">
        <f>((Q26*R26))/Q28</f>
        <v>68.147000000000006</v>
      </c>
      <c r="R29" s="292" t="s">
        <v>51</v>
      </c>
    </row>
    <row r="30" spans="1:28" ht="23.25" x14ac:dyDescent="0.35">
      <c r="A30" s="309"/>
      <c r="B30" s="352"/>
      <c r="C30" s="320"/>
      <c r="D30" s="320"/>
      <c r="E30" s="320"/>
      <c r="F30" s="320"/>
      <c r="G30" s="320"/>
      <c r="H30" s="380" t="s">
        <v>173</v>
      </c>
      <c r="I30" s="323"/>
      <c r="J30" s="328"/>
      <c r="K30" s="570"/>
      <c r="L30" s="307"/>
      <c r="M30" s="308"/>
    </row>
    <row r="31" spans="1:28" ht="23.25" x14ac:dyDescent="0.35">
      <c r="A31" s="309"/>
      <c r="B31" s="352"/>
      <c r="C31" s="320"/>
      <c r="D31" s="320"/>
      <c r="E31" s="320"/>
      <c r="F31" s="320"/>
      <c r="G31" s="320"/>
      <c r="H31" s="380"/>
      <c r="I31" s="323" t="s">
        <v>174</v>
      </c>
      <c r="J31" s="614">
        <f>Q29</f>
        <v>68.147000000000006</v>
      </c>
      <c r="K31" s="570" t="s">
        <v>51</v>
      </c>
      <c r="L31" s="307"/>
      <c r="M31" s="308"/>
    </row>
    <row r="32" spans="1:28" ht="23.25" x14ac:dyDescent="0.35">
      <c r="A32" s="325"/>
      <c r="B32" s="359"/>
      <c r="C32" s="310"/>
      <c r="D32" s="310"/>
      <c r="E32" s="310"/>
      <c r="F32" s="310"/>
      <c r="G32" s="310"/>
      <c r="H32" s="329"/>
      <c r="I32" s="330"/>
      <c r="J32" s="404"/>
      <c r="K32" s="331"/>
      <c r="L32" s="326"/>
      <c r="M32" s="299"/>
    </row>
    <row r="33" spans="1:19" ht="25.5" x14ac:dyDescent="0.5">
      <c r="A33" s="302" t="s">
        <v>179</v>
      </c>
      <c r="B33" s="403">
        <v>4</v>
      </c>
      <c r="C33" s="332">
        <v>0.5</v>
      </c>
      <c r="D33" s="332">
        <v>0.75</v>
      </c>
      <c r="E33" s="332">
        <v>1</v>
      </c>
      <c r="F33" s="332">
        <v>1</v>
      </c>
      <c r="G33" s="332">
        <v>1</v>
      </c>
      <c r="H33" s="894" t="s">
        <v>57</v>
      </c>
      <c r="I33" s="895"/>
      <c r="J33" s="895"/>
      <c r="K33" s="896"/>
      <c r="L33" s="304">
        <f>2+O36</f>
        <v>2.9482285714285714</v>
      </c>
      <c r="M33" s="305">
        <f>IF(L33=0,"-",ROUND(L33*B33/B$82,4))</f>
        <v>0.1474</v>
      </c>
      <c r="N33" s="425" t="s">
        <v>199</v>
      </c>
      <c r="O33" s="641" t="s">
        <v>222</v>
      </c>
      <c r="P33" s="879" t="s">
        <v>320</v>
      </c>
      <c r="Q33" s="879"/>
      <c r="R33" s="568" t="s">
        <v>330</v>
      </c>
      <c r="S33" s="568" t="s">
        <v>51</v>
      </c>
    </row>
    <row r="34" spans="1:19" ht="25.5" x14ac:dyDescent="0.5">
      <c r="A34" s="309" t="s">
        <v>23</v>
      </c>
      <c r="B34" s="352"/>
      <c r="C34" s="320"/>
      <c r="D34" s="320"/>
      <c r="E34" s="320"/>
      <c r="F34" s="335" t="s">
        <v>70</v>
      </c>
      <c r="G34" s="335" t="s">
        <v>70</v>
      </c>
      <c r="H34" s="569" t="s">
        <v>58</v>
      </c>
      <c r="I34" s="573"/>
      <c r="J34" s="573"/>
      <c r="K34" s="570"/>
      <c r="L34" s="307"/>
      <c r="M34" s="308"/>
      <c r="N34" s="425" t="s">
        <v>236</v>
      </c>
      <c r="O34" s="459" t="s">
        <v>367</v>
      </c>
      <c r="P34" s="939">
        <v>350000</v>
      </c>
      <c r="Q34" s="939"/>
      <c r="R34" s="468">
        <v>345470</v>
      </c>
      <c r="S34" s="433">
        <f>R34*100/P34</f>
        <v>98.705714285714279</v>
      </c>
    </row>
    <row r="35" spans="1:19" ht="23.25" x14ac:dyDescent="0.35">
      <c r="A35" s="309" t="s">
        <v>24</v>
      </c>
      <c r="B35" s="352"/>
      <c r="C35" s="320"/>
      <c r="D35" s="320"/>
      <c r="E35" s="320"/>
      <c r="F35" s="335" t="s">
        <v>137</v>
      </c>
      <c r="G35" s="335" t="s">
        <v>138</v>
      </c>
      <c r="H35" s="569" t="s">
        <v>147</v>
      </c>
      <c r="I35" s="573"/>
      <c r="J35" s="573"/>
      <c r="K35" s="570"/>
      <c r="L35" s="307"/>
      <c r="M35" s="308"/>
      <c r="N35" s="292">
        <v>25</v>
      </c>
      <c r="O35" s="431">
        <v>1</v>
      </c>
    </row>
    <row r="36" spans="1:19" ht="23.25" x14ac:dyDescent="0.35">
      <c r="A36" s="309"/>
      <c r="B36" s="352"/>
      <c r="C36" s="320"/>
      <c r="D36" s="320"/>
      <c r="E36" s="320"/>
      <c r="F36" s="320"/>
      <c r="G36" s="320"/>
      <c r="H36" s="569" t="s">
        <v>180</v>
      </c>
      <c r="I36" s="573"/>
      <c r="J36" s="573"/>
      <c r="K36" s="570"/>
      <c r="L36" s="307"/>
      <c r="M36" s="308"/>
      <c r="N36" s="540">
        <f>J37-75</f>
        <v>23.705714285714279</v>
      </c>
      <c r="O36" s="431">
        <f>O35*N36/N35</f>
        <v>0.9482285714285712</v>
      </c>
    </row>
    <row r="37" spans="1:19" ht="23.25" x14ac:dyDescent="0.35">
      <c r="A37" s="309"/>
      <c r="B37" s="352"/>
      <c r="C37" s="320"/>
      <c r="D37" s="320"/>
      <c r="E37" s="320"/>
      <c r="F37" s="320"/>
      <c r="G37" s="311"/>
      <c r="H37" s="569"/>
      <c r="I37" s="323" t="s">
        <v>56</v>
      </c>
      <c r="J37" s="605">
        <f>S34</f>
        <v>98.705714285714279</v>
      </c>
      <c r="K37" s="570" t="s">
        <v>51</v>
      </c>
      <c r="L37" s="307"/>
      <c r="M37" s="308"/>
    </row>
    <row r="38" spans="1:19" ht="23.25" x14ac:dyDescent="0.35">
      <c r="A38" s="309"/>
      <c r="B38" s="352"/>
      <c r="C38" s="320"/>
      <c r="D38" s="320"/>
      <c r="E38" s="320"/>
      <c r="F38" s="320"/>
      <c r="G38" s="320"/>
      <c r="H38" s="333"/>
      <c r="I38" s="306"/>
      <c r="J38" s="306"/>
      <c r="K38" s="312"/>
      <c r="L38" s="307"/>
      <c r="M38" s="308"/>
    </row>
    <row r="39" spans="1:19" ht="23.25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4" t="s">
        <v>152</v>
      </c>
      <c r="I39" s="571"/>
      <c r="J39" s="571"/>
      <c r="K39" s="572"/>
      <c r="L39" s="304">
        <v>1</v>
      </c>
      <c r="M39" s="305">
        <f>IF(L39=0,"-",ROUND(L39*B39/B$82,4))</f>
        <v>0.05</v>
      </c>
      <c r="N39" s="425" t="s">
        <v>332</v>
      </c>
    </row>
    <row r="40" spans="1:19" ht="23.25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3" t="s">
        <v>153</v>
      </c>
      <c r="I40" s="573"/>
      <c r="J40" s="573"/>
      <c r="K40" s="570"/>
      <c r="L40" s="307"/>
      <c r="M40" s="308"/>
      <c r="N40" s="425" t="s">
        <v>236</v>
      </c>
    </row>
    <row r="41" spans="1:19" ht="23.25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3" t="s">
        <v>180</v>
      </c>
      <c r="I41" s="573"/>
      <c r="J41" s="573"/>
      <c r="K41" s="570"/>
      <c r="L41" s="307"/>
      <c r="M41" s="308"/>
    </row>
    <row r="42" spans="1:19" ht="23.25" x14ac:dyDescent="0.35">
      <c r="A42" s="309"/>
      <c r="B42" s="406"/>
      <c r="C42" s="336"/>
      <c r="D42" s="336"/>
      <c r="E42" s="336"/>
      <c r="F42" s="336"/>
      <c r="G42" s="390"/>
      <c r="H42" s="569"/>
      <c r="I42" s="323" t="s">
        <v>56</v>
      </c>
      <c r="J42" s="324">
        <v>50</v>
      </c>
      <c r="K42" s="570" t="s">
        <v>51</v>
      </c>
      <c r="L42" s="307"/>
      <c r="M42" s="308"/>
    </row>
    <row r="43" spans="1:19" ht="23.25" x14ac:dyDescent="0.35">
      <c r="A43" s="325"/>
      <c r="B43" s="359"/>
      <c r="C43" s="310"/>
      <c r="D43" s="310"/>
      <c r="E43" s="310"/>
      <c r="F43" s="310"/>
      <c r="G43" s="310"/>
      <c r="H43" s="565"/>
      <c r="I43" s="566"/>
      <c r="J43" s="566"/>
      <c r="K43" s="567"/>
      <c r="L43" s="326"/>
      <c r="M43" s="299"/>
    </row>
    <row r="44" spans="1:19" ht="23.25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4" t="s">
        <v>186</v>
      </c>
      <c r="I44" s="571"/>
      <c r="J44" s="571"/>
      <c r="K44" s="572"/>
      <c r="L44" s="304">
        <v>1</v>
      </c>
      <c r="M44" s="305">
        <f>IF(L44=0,"-",ROUND(L44*B44/B$82,4))</f>
        <v>0.15</v>
      </c>
      <c r="N44" s="425" t="s">
        <v>289</v>
      </c>
    </row>
    <row r="45" spans="1:19" ht="23.25" x14ac:dyDescent="0.35">
      <c r="A45" s="309" t="s">
        <v>85</v>
      </c>
      <c r="B45" s="352"/>
      <c r="C45" s="320"/>
      <c r="D45" s="320"/>
      <c r="E45" s="320"/>
      <c r="F45" s="320"/>
      <c r="G45" s="320"/>
      <c r="H45" s="569" t="s">
        <v>196</v>
      </c>
      <c r="I45" s="573"/>
      <c r="J45" s="573"/>
      <c r="K45" s="570"/>
      <c r="L45" s="307"/>
      <c r="M45" s="308"/>
      <c r="N45" s="425" t="s">
        <v>236</v>
      </c>
    </row>
    <row r="46" spans="1:19" ht="23.25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v>549940000</v>
      </c>
      <c r="K46" s="570" t="s">
        <v>187</v>
      </c>
      <c r="L46" s="307"/>
      <c r="M46" s="308"/>
    </row>
    <row r="47" spans="1:19" ht="23.25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v>400940000</v>
      </c>
      <c r="K47" s="570" t="s">
        <v>187</v>
      </c>
      <c r="L47" s="307"/>
      <c r="M47" s="308"/>
    </row>
    <row r="48" spans="1:19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72.906135214750705</v>
      </c>
      <c r="K48" s="570" t="s">
        <v>51</v>
      </c>
      <c r="L48" s="307"/>
      <c r="M48" s="308"/>
    </row>
    <row r="49" spans="1:14" ht="23.25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14" ht="23.25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4" t="s">
        <v>156</v>
      </c>
      <c r="I50" s="571"/>
      <c r="J50" s="571"/>
      <c r="K50" s="572"/>
      <c r="L50" s="304">
        <v>1</v>
      </c>
      <c r="M50" s="305">
        <f>IF(L50=0,"-",ROUND(L50*B50/B$82,4))</f>
        <v>0.05</v>
      </c>
      <c r="N50" s="425" t="s">
        <v>337</v>
      </c>
    </row>
    <row r="51" spans="1:14" ht="23.25" x14ac:dyDescent="0.35">
      <c r="A51" s="309" t="s">
        <v>145</v>
      </c>
      <c r="B51" s="352"/>
      <c r="C51" s="320"/>
      <c r="D51" s="320"/>
      <c r="E51" s="320"/>
      <c r="F51" s="320"/>
      <c r="G51" s="320"/>
      <c r="H51" s="569" t="s">
        <v>104</v>
      </c>
      <c r="I51" s="573"/>
      <c r="J51" s="573"/>
      <c r="K51" s="570"/>
      <c r="L51" s="307"/>
      <c r="M51" s="308"/>
      <c r="N51" s="425" t="s">
        <v>236</v>
      </c>
    </row>
    <row r="52" spans="1:14" ht="23.25" x14ac:dyDescent="0.35">
      <c r="A52" s="389" t="s">
        <v>155</v>
      </c>
      <c r="B52" s="352"/>
      <c r="C52" s="320"/>
      <c r="D52" s="320"/>
      <c r="E52" s="320"/>
      <c r="F52" s="320"/>
      <c r="G52" s="320"/>
      <c r="H52" s="569" t="s">
        <v>105</v>
      </c>
      <c r="I52" s="573"/>
      <c r="J52" s="573"/>
      <c r="K52" s="570"/>
      <c r="L52" s="307"/>
      <c r="M52" s="308"/>
    </row>
    <row r="53" spans="1:14" ht="23.25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0" t="s">
        <v>51</v>
      </c>
      <c r="L53" s="307"/>
      <c r="M53" s="308"/>
    </row>
    <row r="54" spans="1:14" ht="23.25" x14ac:dyDescent="0.35">
      <c r="A54" s="325"/>
      <c r="B54" s="359"/>
      <c r="C54" s="310"/>
      <c r="D54" s="310"/>
      <c r="E54" s="310"/>
      <c r="F54" s="310"/>
      <c r="G54" s="415"/>
      <c r="H54" s="891" t="s">
        <v>211</v>
      </c>
      <c r="I54" s="892"/>
      <c r="J54" s="892"/>
      <c r="K54" s="893"/>
      <c r="L54" s="326"/>
      <c r="M54" s="299"/>
    </row>
    <row r="55" spans="1:14" ht="23.25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4" t="s">
        <v>108</v>
      </c>
      <c r="I55" s="571"/>
      <c r="J55" s="571"/>
      <c r="K55" s="572"/>
      <c r="L55" s="304">
        <v>2</v>
      </c>
      <c r="M55" s="305">
        <f>IF(L55=0,"-",ROUND(L55*B55/B$82,4))</f>
        <v>0.1</v>
      </c>
      <c r="N55" s="425" t="s">
        <v>332</v>
      </c>
    </row>
    <row r="56" spans="1:14" ht="23.25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69" t="s">
        <v>146</v>
      </c>
      <c r="I56" s="573"/>
      <c r="J56" s="573"/>
      <c r="K56" s="570"/>
      <c r="L56" s="307"/>
      <c r="M56" s="308"/>
      <c r="N56" s="425" t="s">
        <v>236</v>
      </c>
    </row>
    <row r="57" spans="1:14" ht="23.25" x14ac:dyDescent="0.35">
      <c r="A57" s="309"/>
      <c r="B57" s="352"/>
      <c r="C57" s="344"/>
      <c r="D57" s="344"/>
      <c r="E57" s="344"/>
      <c r="F57" s="344"/>
      <c r="G57" s="344"/>
      <c r="H57" s="569" t="s">
        <v>110</v>
      </c>
      <c r="I57" s="573"/>
      <c r="J57" s="573"/>
      <c r="K57" s="570"/>
      <c r="L57" s="307"/>
      <c r="M57" s="308"/>
    </row>
    <row r="58" spans="1:14" ht="23.25" x14ac:dyDescent="0.35">
      <c r="A58" s="309"/>
      <c r="B58" s="352"/>
      <c r="C58" s="344"/>
      <c r="D58" s="344"/>
      <c r="E58" s="344"/>
      <c r="F58" s="344"/>
      <c r="G58" s="344"/>
      <c r="H58" s="569" t="s">
        <v>191</v>
      </c>
      <c r="I58" s="573"/>
      <c r="J58" s="573"/>
      <c r="K58" s="570"/>
      <c r="L58" s="307"/>
      <c r="M58" s="308"/>
    </row>
    <row r="59" spans="1:14" ht="23.25" x14ac:dyDescent="0.35">
      <c r="A59" s="309"/>
      <c r="B59" s="352"/>
      <c r="C59" s="344"/>
      <c r="D59" s="344"/>
      <c r="E59" s="344"/>
      <c r="F59" s="344"/>
      <c r="G59" s="344"/>
      <c r="H59" s="569"/>
      <c r="I59" s="323" t="s">
        <v>112</v>
      </c>
      <c r="J59" s="324">
        <v>2</v>
      </c>
      <c r="K59" s="382"/>
      <c r="L59" s="307"/>
      <c r="M59" s="308"/>
    </row>
    <row r="60" spans="1:14" ht="23.25" x14ac:dyDescent="0.35">
      <c r="A60" s="325"/>
      <c r="B60" s="359"/>
      <c r="C60" s="310"/>
      <c r="D60" s="310"/>
      <c r="E60" s="310"/>
      <c r="F60" s="310"/>
      <c r="G60" s="310"/>
      <c r="H60" s="891"/>
      <c r="I60" s="892"/>
      <c r="J60" s="892"/>
      <c r="K60" s="893"/>
      <c r="L60" s="326"/>
      <c r="M60" s="299"/>
    </row>
    <row r="61" spans="1:14" ht="23.25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4" t="s">
        <v>123</v>
      </c>
      <c r="I61" s="571"/>
      <c r="J61" s="571"/>
      <c r="K61" s="572"/>
      <c r="L61" s="304">
        <v>5</v>
      </c>
      <c r="M61" s="305">
        <f>IF(L61=0,"-",ROUND(L61*B61/B$82,4))</f>
        <v>0.25</v>
      </c>
      <c r="N61" s="425" t="s">
        <v>202</v>
      </c>
    </row>
    <row r="62" spans="1:14" ht="23.25" x14ac:dyDescent="0.35">
      <c r="A62" s="351" t="s">
        <v>192</v>
      </c>
      <c r="B62" s="352"/>
      <c r="C62" s="320"/>
      <c r="D62" s="320"/>
      <c r="E62" s="320"/>
      <c r="F62" s="320"/>
      <c r="G62" s="311"/>
      <c r="H62" s="569" t="s">
        <v>124</v>
      </c>
      <c r="I62" s="322"/>
      <c r="J62" s="353"/>
      <c r="K62" s="354"/>
      <c r="L62" s="355"/>
      <c r="M62" s="308"/>
      <c r="N62" s="425" t="s">
        <v>236</v>
      </c>
    </row>
    <row r="63" spans="1:14" ht="23.25" x14ac:dyDescent="0.35">
      <c r="A63" s="351"/>
      <c r="B63" s="352"/>
      <c r="C63" s="320"/>
      <c r="D63" s="320"/>
      <c r="E63" s="320"/>
      <c r="F63" s="320"/>
      <c r="G63" s="320"/>
      <c r="H63" s="573" t="s">
        <v>125</v>
      </c>
      <c r="I63" s="322"/>
      <c r="J63" s="353"/>
      <c r="K63" s="354"/>
      <c r="L63" s="355"/>
      <c r="M63" s="308"/>
    </row>
    <row r="64" spans="1:14" ht="23.25" x14ac:dyDescent="0.35">
      <c r="A64" s="351"/>
      <c r="B64" s="352"/>
      <c r="C64" s="320"/>
      <c r="D64" s="320"/>
      <c r="E64" s="320"/>
      <c r="F64" s="320"/>
      <c r="G64" s="320"/>
      <c r="H64" s="569" t="s">
        <v>126</v>
      </c>
      <c r="I64" s="322"/>
      <c r="J64" s="353"/>
      <c r="K64" s="354"/>
      <c r="L64" s="355"/>
      <c r="M64" s="308"/>
    </row>
    <row r="65" spans="1:15" ht="23.25" x14ac:dyDescent="0.35">
      <c r="A65" s="351"/>
      <c r="B65" s="352"/>
      <c r="C65" s="320"/>
      <c r="D65" s="320"/>
      <c r="E65" s="320"/>
      <c r="F65" s="320"/>
      <c r="G65" s="320"/>
      <c r="H65" s="569" t="s">
        <v>127</v>
      </c>
      <c r="I65" s="322"/>
      <c r="J65" s="353"/>
      <c r="K65" s="354"/>
      <c r="L65" s="355"/>
      <c r="M65" s="308"/>
    </row>
    <row r="66" spans="1:15" ht="23.25" x14ac:dyDescent="0.35">
      <c r="A66" s="351"/>
      <c r="B66" s="352"/>
      <c r="C66" s="320"/>
      <c r="D66" s="320"/>
      <c r="E66" s="320"/>
      <c r="F66" s="320"/>
      <c r="G66" s="320"/>
      <c r="H66" s="569"/>
      <c r="I66" s="323" t="s">
        <v>114</v>
      </c>
      <c r="J66" s="408">
        <f>สพญ.!S96</f>
        <v>100</v>
      </c>
      <c r="K66" s="382" t="s">
        <v>51</v>
      </c>
      <c r="L66" s="355"/>
      <c r="M66" s="308"/>
    </row>
    <row r="67" spans="1:15" ht="23.25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</row>
    <row r="68" spans="1:15" ht="23.25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4" t="s">
        <v>157</v>
      </c>
      <c r="I68" s="571"/>
      <c r="J68" s="571"/>
      <c r="K68" s="572"/>
      <c r="L68" s="304">
        <f>4+O69</f>
        <v>4.8960000000000008</v>
      </c>
      <c r="M68" s="305">
        <f>IF(L68=0,"-",ROUND(L68*B68/B$82,4))</f>
        <v>0.24479999999999999</v>
      </c>
      <c r="N68" s="292">
        <v>5</v>
      </c>
      <c r="O68" s="431">
        <v>1</v>
      </c>
    </row>
    <row r="69" spans="1:15" ht="23.25" x14ac:dyDescent="0.35">
      <c r="A69" s="309" t="s">
        <v>116</v>
      </c>
      <c r="B69" s="352"/>
      <c r="C69" s="348"/>
      <c r="D69" s="348"/>
      <c r="E69" s="348"/>
      <c r="F69" s="348"/>
      <c r="G69" s="348"/>
      <c r="H69" s="569" t="s">
        <v>158</v>
      </c>
      <c r="I69" s="573"/>
      <c r="J69" s="573"/>
      <c r="K69" s="570"/>
      <c r="L69" s="362"/>
      <c r="M69" s="308"/>
      <c r="N69" s="540">
        <f>J73-95</f>
        <v>4.480000000000004</v>
      </c>
      <c r="O69" s="431">
        <f>O68*N69/N68</f>
        <v>0.8960000000000008</v>
      </c>
    </row>
    <row r="70" spans="1:15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69" t="s">
        <v>197</v>
      </c>
      <c r="I70" s="573"/>
      <c r="J70" s="573"/>
      <c r="K70" s="570"/>
      <c r="L70" s="362"/>
      <c r="M70" s="308"/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69" t="s">
        <v>120</v>
      </c>
      <c r="I71" s="573"/>
      <c r="J71" s="573"/>
      <c r="K71" s="570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69" t="s">
        <v>194</v>
      </c>
      <c r="I72" s="573"/>
      <c r="J72" s="573"/>
      <c r="K72" s="570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44"/>
      <c r="H73" s="569" t="s">
        <v>195</v>
      </c>
      <c r="I73" s="345"/>
      <c r="J73" s="408">
        <v>99.48</v>
      </c>
      <c r="K73" s="413" t="s">
        <v>51</v>
      </c>
      <c r="L73" s="412"/>
      <c r="M73" s="308"/>
    </row>
    <row r="74" spans="1:15" ht="23.25" x14ac:dyDescent="0.35">
      <c r="A74" s="358"/>
      <c r="B74" s="414"/>
      <c r="C74" s="411"/>
      <c r="D74" s="411"/>
      <c r="E74" s="411"/>
      <c r="F74" s="411"/>
      <c r="G74" s="329"/>
      <c r="H74" s="576"/>
      <c r="I74" s="582"/>
      <c r="J74" s="583"/>
      <c r="K74" s="584"/>
      <c r="L74" s="416"/>
      <c r="M74" s="308"/>
    </row>
    <row r="75" spans="1:15" ht="23.25" x14ac:dyDescent="0.35">
      <c r="A75" s="351" t="s">
        <v>324</v>
      </c>
      <c r="B75" s="585">
        <v>4</v>
      </c>
      <c r="C75" s="586">
        <v>0.4</v>
      </c>
      <c r="D75" s="586">
        <v>0.45</v>
      </c>
      <c r="E75" s="586">
        <v>0.5</v>
      </c>
      <c r="F75" s="586">
        <v>0.55000000000000004</v>
      </c>
      <c r="G75" s="586">
        <v>0.6</v>
      </c>
      <c r="H75" s="569" t="s">
        <v>325</v>
      </c>
      <c r="I75" s="345"/>
      <c r="J75" s="587"/>
      <c r="K75" s="588"/>
      <c r="L75" s="355">
        <v>3</v>
      </c>
      <c r="M75" s="305">
        <f>IF(L75=0,"-",ROUND(L75*B75/B$82,4))</f>
        <v>0.15</v>
      </c>
    </row>
    <row r="76" spans="1:15" ht="23.25" x14ac:dyDescent="0.35">
      <c r="A76" s="351" t="s">
        <v>326</v>
      </c>
      <c r="B76" s="406"/>
      <c r="C76" s="311"/>
      <c r="D76" s="311"/>
      <c r="E76" s="311"/>
      <c r="F76" s="311"/>
      <c r="G76" s="333"/>
      <c r="H76" s="569" t="s">
        <v>327</v>
      </c>
      <c r="I76" s="345"/>
      <c r="J76" s="587"/>
      <c r="K76" s="588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69"/>
      <c r="I77" s="345"/>
      <c r="J77" s="587"/>
      <c r="K77" s="588"/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69"/>
      <c r="I78" s="345" t="s">
        <v>174</v>
      </c>
      <c r="J78" s="589">
        <v>50</v>
      </c>
      <c r="K78" s="413" t="s">
        <v>51</v>
      </c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69"/>
      <c r="I79" s="345"/>
      <c r="J79" s="587"/>
      <c r="K79" s="588"/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6"/>
      <c r="I81" s="345"/>
      <c r="J81" s="587"/>
      <c r="K81" s="584"/>
      <c r="L81" s="412"/>
      <c r="M81" s="308"/>
    </row>
    <row r="82" spans="1:13" ht="26.25" x14ac:dyDescent="0.4">
      <c r="A82" s="363"/>
      <c r="B82" s="409">
        <f>ROUND(SUM(B6:B81),1)</f>
        <v>80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2.6322000000000001</v>
      </c>
    </row>
  </sheetData>
  <mergeCells count="26">
    <mergeCell ref="H60:K60"/>
    <mergeCell ref="H26:K26"/>
    <mergeCell ref="H28:K28"/>
    <mergeCell ref="H33:K33"/>
    <mergeCell ref="P33:Q33"/>
    <mergeCell ref="P34:Q34"/>
    <mergeCell ref="H54:K54"/>
    <mergeCell ref="H21:K21"/>
    <mergeCell ref="H9:I9"/>
    <mergeCell ref="H10:I10"/>
    <mergeCell ref="H11:I11"/>
    <mergeCell ref="H12:K12"/>
    <mergeCell ref="H13:K13"/>
    <mergeCell ref="H14:K14"/>
    <mergeCell ref="H15:K15"/>
    <mergeCell ref="H16:K16"/>
    <mergeCell ref="H18:K18"/>
    <mergeCell ref="H19:K19"/>
    <mergeCell ref="H20:K20"/>
    <mergeCell ref="H6:I7"/>
    <mergeCell ref="J6:K6"/>
    <mergeCell ref="A1:M1"/>
    <mergeCell ref="A2:M2"/>
    <mergeCell ref="C4:G4"/>
    <mergeCell ref="H4:K5"/>
    <mergeCell ref="L4:L5"/>
  </mergeCells>
  <printOptions horizontalCentered="1"/>
  <pageMargins left="0.196850393700787" right="0" top="0.55118110236220497" bottom="0.27559055118110198" header="0.196850393700787" footer="0.47244094488188998"/>
  <pageSetup paperSize="9" scale="74" orientation="landscape" r:id="rId1"/>
  <headerFooter scaleWithDoc="0">
    <oddHeader>&amp;R&amp;"TH SarabunPSK,ธรรมดา"&amp;16&amp;P</oddHeader>
  </headerFooter>
  <rowBreaks count="2" manualBreakCount="2">
    <brk id="25" max="12" man="1"/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 x14ac:dyDescent="0.5">
      <c r="A1" s="837" t="s">
        <v>0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</row>
    <row r="2" spans="1:16" ht="27.75" x14ac:dyDescent="0.5">
      <c r="A2" s="837" t="s">
        <v>45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</row>
    <row r="3" spans="1:16" ht="26.25" customHeight="1" x14ac:dyDescent="0.5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 x14ac:dyDescent="0.5">
      <c r="A4" s="32" t="s">
        <v>1</v>
      </c>
      <c r="B4" s="32" t="s">
        <v>2</v>
      </c>
      <c r="C4" s="839" t="s">
        <v>3</v>
      </c>
      <c r="D4" s="839"/>
      <c r="E4" s="839"/>
      <c r="F4" s="839"/>
      <c r="G4" s="839"/>
      <c r="H4" s="840" t="s">
        <v>4</v>
      </c>
      <c r="I4" s="841"/>
      <c r="J4" s="841"/>
      <c r="K4" s="842"/>
      <c r="L4" s="846" t="s">
        <v>5</v>
      </c>
      <c r="M4" s="33" t="s">
        <v>6</v>
      </c>
    </row>
    <row r="5" spans="1:16" s="34" customFormat="1" ht="24.75" customHeight="1" x14ac:dyDescent="0.5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843"/>
      <c r="I5" s="844"/>
      <c r="J5" s="844"/>
      <c r="K5" s="845"/>
      <c r="L5" s="846"/>
      <c r="M5" s="37" t="s">
        <v>9</v>
      </c>
    </row>
    <row r="6" spans="1:16" ht="23.25" customHeight="1" x14ac:dyDescent="0.5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 x14ac:dyDescent="0.5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830" t="s">
        <v>14</v>
      </c>
      <c r="I9" s="831"/>
      <c r="J9" s="832" t="s">
        <v>15</v>
      </c>
      <c r="K9" s="832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 x14ac:dyDescent="0.5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830"/>
      <c r="I10" s="831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 x14ac:dyDescent="0.5">
      <c r="A11" s="40"/>
      <c r="B11" s="3"/>
      <c r="C11" s="10"/>
      <c r="D11" s="10"/>
      <c r="E11" s="10"/>
      <c r="F11" s="10"/>
      <c r="G11" s="10"/>
      <c r="H11" s="833" t="s">
        <v>19</v>
      </c>
      <c r="I11" s="834"/>
      <c r="J11" s="73">
        <v>19000</v>
      </c>
      <c r="K11" s="64">
        <v>5000</v>
      </c>
      <c r="L11" s="115"/>
      <c r="M11" s="62"/>
    </row>
    <row r="12" spans="1:16" ht="23.25" customHeight="1" x14ac:dyDescent="0.5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2"/>
      <c r="D13" s="12"/>
      <c r="E13" s="12"/>
      <c r="F13" s="12"/>
      <c r="G13" s="12"/>
      <c r="H13" s="835" t="s">
        <v>42</v>
      </c>
      <c r="I13" s="836"/>
      <c r="J13" s="86"/>
      <c r="K13" s="87"/>
      <c r="L13" s="115"/>
      <c r="M13" s="62"/>
    </row>
    <row r="14" spans="1:16" ht="23.25" customHeight="1" x14ac:dyDescent="0.5">
      <c r="A14" s="40"/>
      <c r="B14" s="5"/>
      <c r="C14" s="12"/>
      <c r="D14" s="12"/>
      <c r="E14" s="12"/>
      <c r="F14" s="12"/>
      <c r="G14" s="12"/>
      <c r="H14" s="847" t="s">
        <v>43</v>
      </c>
      <c r="I14" s="848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2"/>
      <c r="D15" s="12"/>
      <c r="E15" s="12"/>
      <c r="F15" s="12"/>
      <c r="G15" s="12"/>
      <c r="H15" s="849" t="s">
        <v>20</v>
      </c>
      <c r="I15" s="849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 x14ac:dyDescent="0.5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853" t="s">
        <v>46</v>
      </c>
      <c r="I17" s="850"/>
      <c r="J17" s="850"/>
      <c r="K17" s="851"/>
      <c r="L17" s="114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2"/>
      <c r="D18" s="12"/>
      <c r="E18" s="12"/>
      <c r="F18" s="12"/>
      <c r="G18" s="12"/>
      <c r="H18" s="835" t="s">
        <v>47</v>
      </c>
      <c r="I18" s="852"/>
      <c r="J18" s="852"/>
      <c r="K18" s="836"/>
      <c r="L18" s="115"/>
      <c r="M18" s="62"/>
    </row>
    <row r="19" spans="1:13" ht="23.25" customHeight="1" x14ac:dyDescent="0.5">
      <c r="A19" s="44"/>
      <c r="B19" s="5"/>
      <c r="C19" s="12"/>
      <c r="D19" s="12"/>
      <c r="E19" s="12"/>
      <c r="F19" s="12"/>
      <c r="G19" s="12"/>
      <c r="H19" s="835" t="s">
        <v>48</v>
      </c>
      <c r="I19" s="852"/>
      <c r="J19" s="852"/>
      <c r="K19" s="836"/>
      <c r="L19" s="115"/>
      <c r="M19" s="62"/>
    </row>
    <row r="20" spans="1:13" ht="23.25" customHeight="1" x14ac:dyDescent="0.5">
      <c r="A20" s="44"/>
      <c r="B20" s="5"/>
      <c r="C20" s="12"/>
      <c r="D20" s="12"/>
      <c r="E20" s="12"/>
      <c r="F20" s="12"/>
      <c r="G20" s="12"/>
      <c r="H20" s="835" t="s">
        <v>49</v>
      </c>
      <c r="I20" s="852"/>
      <c r="J20" s="852"/>
      <c r="K20" s="836"/>
      <c r="L20" s="115"/>
      <c r="M20" s="62"/>
    </row>
    <row r="21" spans="1:13" ht="23.25" customHeight="1" x14ac:dyDescent="0.5">
      <c r="A21" s="44"/>
      <c r="B21" s="5"/>
      <c r="C21" s="12"/>
      <c r="D21" s="12"/>
      <c r="E21" s="12"/>
      <c r="F21" s="12"/>
      <c r="G21" s="12"/>
      <c r="H21" s="835" t="s">
        <v>50</v>
      </c>
      <c r="I21" s="852"/>
      <c r="J21" s="852"/>
      <c r="K21" s="836"/>
      <c r="L21" s="115"/>
      <c r="M21" s="62"/>
    </row>
    <row r="22" spans="1:13" ht="23.25" customHeight="1" x14ac:dyDescent="0.5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 x14ac:dyDescent="0.5">
      <c r="A23" s="45"/>
      <c r="B23" s="14"/>
      <c r="C23" s="6"/>
      <c r="D23" s="6"/>
      <c r="E23" s="6"/>
      <c r="F23" s="6"/>
      <c r="G23" s="6"/>
      <c r="H23" s="854"/>
      <c r="I23" s="855"/>
      <c r="J23" s="855"/>
      <c r="K23" s="856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850" t="s">
        <v>82</v>
      </c>
      <c r="I24" s="850"/>
      <c r="J24" s="850"/>
      <c r="K24" s="851"/>
      <c r="L24" s="114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2"/>
      <c r="D25" s="12"/>
      <c r="E25" s="12"/>
      <c r="F25" s="12"/>
      <c r="G25" s="12"/>
      <c r="H25" s="835" t="s">
        <v>83</v>
      </c>
      <c r="I25" s="852"/>
      <c r="J25" s="852"/>
      <c r="K25" s="836"/>
      <c r="L25" s="115"/>
      <c r="M25" s="62"/>
    </row>
    <row r="26" spans="1:13" ht="23.25" customHeight="1" x14ac:dyDescent="0.5">
      <c r="A26" s="46"/>
      <c r="B26" s="5"/>
      <c r="C26" s="12"/>
      <c r="D26" s="12"/>
      <c r="E26" s="12"/>
      <c r="F26" s="12"/>
      <c r="G26" s="12"/>
      <c r="H26" s="835" t="s">
        <v>55</v>
      </c>
      <c r="I26" s="852"/>
      <c r="J26" s="852"/>
      <c r="K26" s="836"/>
      <c r="L26" s="115"/>
      <c r="M26" s="62"/>
    </row>
    <row r="27" spans="1:13" ht="23.25" customHeight="1" x14ac:dyDescent="0.5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 x14ac:dyDescent="0.5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853" t="s">
        <v>57</v>
      </c>
      <c r="I29" s="850"/>
      <c r="J29" s="850"/>
      <c r="K29" s="851"/>
      <c r="L29" s="114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2"/>
      <c r="D30" s="12"/>
      <c r="E30" s="12"/>
      <c r="F30" s="12"/>
      <c r="G30" s="12"/>
      <c r="H30" s="835" t="s">
        <v>58</v>
      </c>
      <c r="I30" s="852"/>
      <c r="J30" s="852"/>
      <c r="K30" s="836"/>
      <c r="L30" s="115"/>
      <c r="M30" s="62"/>
    </row>
    <row r="31" spans="1:13" ht="24.75" customHeight="1" x14ac:dyDescent="0.5">
      <c r="A31" s="40" t="s">
        <v>24</v>
      </c>
      <c r="B31" s="5"/>
      <c r="C31" s="12"/>
      <c r="D31" s="12"/>
      <c r="E31" s="12"/>
      <c r="F31" s="12"/>
      <c r="G31" s="12"/>
      <c r="H31" s="835" t="s">
        <v>77</v>
      </c>
      <c r="I31" s="852"/>
      <c r="J31" s="852"/>
      <c r="K31" s="836"/>
      <c r="L31" s="115"/>
      <c r="M31" s="62"/>
    </row>
    <row r="32" spans="1:13" ht="24.75" customHeight="1" x14ac:dyDescent="0.5">
      <c r="A32" s="46"/>
      <c r="B32" s="5"/>
      <c r="C32" s="12"/>
      <c r="D32" s="12"/>
      <c r="E32" s="12"/>
      <c r="F32" s="12"/>
      <c r="G32" s="12"/>
      <c r="H32" s="835" t="s">
        <v>59</v>
      </c>
      <c r="I32" s="852"/>
      <c r="J32" s="852"/>
      <c r="K32" s="836"/>
      <c r="L32" s="115"/>
      <c r="M32" s="62"/>
    </row>
    <row r="33" spans="1:13" ht="24.75" customHeight="1" x14ac:dyDescent="0.5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 x14ac:dyDescent="0.5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853" t="s">
        <v>73</v>
      </c>
      <c r="I35" s="850"/>
      <c r="J35" s="850"/>
      <c r="K35" s="851"/>
      <c r="L35" s="114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2"/>
      <c r="D36" s="12"/>
      <c r="E36" s="12"/>
      <c r="F36" s="12"/>
      <c r="G36" s="12"/>
      <c r="H36" s="858" t="s">
        <v>74</v>
      </c>
      <c r="I36" s="859"/>
      <c r="J36" s="859"/>
      <c r="K36" s="860"/>
      <c r="L36" s="115"/>
      <c r="M36" s="62"/>
    </row>
    <row r="37" spans="1:13" ht="24.75" customHeight="1" x14ac:dyDescent="0.5">
      <c r="A37" s="46"/>
      <c r="B37" s="5"/>
      <c r="C37" s="12"/>
      <c r="D37" s="12"/>
      <c r="E37" s="12"/>
      <c r="F37" s="12"/>
      <c r="G37" s="12"/>
      <c r="H37" s="858" t="s">
        <v>75</v>
      </c>
      <c r="I37" s="859"/>
      <c r="J37" s="859"/>
      <c r="K37" s="860"/>
      <c r="L37" s="115"/>
      <c r="M37" s="62"/>
    </row>
    <row r="38" spans="1:13" ht="24.75" customHeight="1" x14ac:dyDescent="0.5">
      <c r="A38" s="46"/>
      <c r="B38" s="5"/>
      <c r="C38" s="12"/>
      <c r="D38" s="12"/>
      <c r="E38" s="12"/>
      <c r="F38" s="12"/>
      <c r="G38" s="12"/>
      <c r="H38" s="858" t="s">
        <v>76</v>
      </c>
      <c r="I38" s="861"/>
      <c r="J38" s="861"/>
      <c r="K38" s="862"/>
      <c r="L38" s="115"/>
      <c r="M38" s="62"/>
    </row>
    <row r="39" spans="1:13" ht="24.75" customHeight="1" x14ac:dyDescent="0.5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 x14ac:dyDescent="0.5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853" t="s">
        <v>62</v>
      </c>
      <c r="I41" s="850"/>
      <c r="J41" s="850"/>
      <c r="K41" s="851"/>
      <c r="L41" s="114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835" t="s">
        <v>63</v>
      </c>
      <c r="I42" s="852"/>
      <c r="J42" s="852"/>
      <c r="K42" s="836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835" t="s">
        <v>64</v>
      </c>
      <c r="I43" s="852"/>
      <c r="J43" s="852"/>
      <c r="K43" s="836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857"/>
      <c r="I48" s="855"/>
      <c r="J48" s="855"/>
      <c r="K48" s="856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853" t="s">
        <v>78</v>
      </c>
      <c r="I49" s="850"/>
      <c r="J49" s="850"/>
      <c r="K49" s="851"/>
      <c r="L49" s="114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852" t="s">
        <v>79</v>
      </c>
      <c r="I50" s="852"/>
      <c r="J50" s="852"/>
      <c r="K50" s="836"/>
      <c r="L50" s="115"/>
      <c r="M50" s="62"/>
    </row>
    <row r="51" spans="1:13" ht="24.75" customHeight="1" x14ac:dyDescent="0.5">
      <c r="A51" s="40"/>
      <c r="B51" s="3"/>
      <c r="C51" s="18"/>
      <c r="D51" s="18"/>
      <c r="E51" s="18"/>
      <c r="F51" s="18" t="s">
        <v>71</v>
      </c>
      <c r="G51" s="18" t="s">
        <v>72</v>
      </c>
      <c r="H51" s="852" t="s">
        <v>80</v>
      </c>
      <c r="I51" s="852"/>
      <c r="J51" s="852"/>
      <c r="K51" s="836"/>
      <c r="L51" s="115"/>
      <c r="M51" s="62"/>
    </row>
    <row r="52" spans="1:13" ht="24.75" customHeight="1" x14ac:dyDescent="0.5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 x14ac:dyDescent="0.5">
      <c r="A53" s="50"/>
      <c r="B53" s="14"/>
      <c r="C53" s="6"/>
      <c r="D53" s="6"/>
      <c r="E53" s="6"/>
      <c r="F53" s="6"/>
      <c r="G53" s="6"/>
      <c r="H53" s="857"/>
      <c r="I53" s="863"/>
      <c r="J53" s="863"/>
      <c r="K53" s="864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853" t="s">
        <v>99</v>
      </c>
      <c r="I54" s="850"/>
      <c r="J54" s="850"/>
      <c r="K54" s="851"/>
      <c r="L54" s="114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835" t="s">
        <v>100</v>
      </c>
      <c r="I55" s="852"/>
      <c r="J55" s="852"/>
      <c r="K55" s="836"/>
      <c r="L55" s="115"/>
      <c r="M55" s="62"/>
    </row>
    <row r="56" spans="1:13" ht="24.75" customHeight="1" x14ac:dyDescent="0.5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 x14ac:dyDescent="0.5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 x14ac:dyDescent="0.5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 x14ac:dyDescent="0.5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853" t="s">
        <v>92</v>
      </c>
      <c r="I60" s="850"/>
      <c r="J60" s="850"/>
      <c r="K60" s="851"/>
      <c r="L60" s="114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1"/>
      <c r="D61" s="21"/>
      <c r="E61" s="21"/>
      <c r="F61" s="21"/>
      <c r="G61" s="21"/>
      <c r="H61" s="835" t="s">
        <v>93</v>
      </c>
      <c r="I61" s="852"/>
      <c r="J61" s="852"/>
      <c r="K61" s="836"/>
      <c r="L61" s="115"/>
      <c r="M61" s="62"/>
    </row>
    <row r="62" spans="1:13" ht="24.75" customHeight="1" x14ac:dyDescent="0.5">
      <c r="A62" s="40" t="s">
        <v>91</v>
      </c>
      <c r="B62" s="5"/>
      <c r="C62" s="12"/>
      <c r="D62" s="12"/>
      <c r="E62" s="12"/>
      <c r="F62" s="12"/>
      <c r="G62" s="12"/>
      <c r="H62" s="835" t="s">
        <v>94</v>
      </c>
      <c r="I62" s="852"/>
      <c r="J62" s="852"/>
      <c r="K62" s="836"/>
      <c r="L62" s="115"/>
      <c r="M62" s="62"/>
    </row>
    <row r="63" spans="1:13" ht="24.75" customHeight="1" x14ac:dyDescent="0.5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 x14ac:dyDescent="0.5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 x14ac:dyDescent="0.5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 x14ac:dyDescent="0.5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 x14ac:dyDescent="0.5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853" t="s">
        <v>103</v>
      </c>
      <c r="I68" s="850"/>
      <c r="J68" s="850"/>
      <c r="K68" s="851"/>
      <c r="L68" s="114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835" t="s">
        <v>104</v>
      </c>
      <c r="I69" s="852"/>
      <c r="J69" s="852"/>
      <c r="K69" s="836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835" t="s">
        <v>105</v>
      </c>
      <c r="I70" s="852"/>
      <c r="J70" s="852"/>
      <c r="K70" s="836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53" t="s">
        <v>108</v>
      </c>
      <c r="I73" s="850"/>
      <c r="J73" s="850"/>
      <c r="K73" s="851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35" t="s">
        <v>109</v>
      </c>
      <c r="I74" s="852"/>
      <c r="J74" s="852"/>
      <c r="K74" s="836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835" t="s">
        <v>110</v>
      </c>
      <c r="I75" s="852"/>
      <c r="J75" s="852"/>
      <c r="K75" s="836"/>
      <c r="L75" s="115"/>
      <c r="M75" s="62"/>
      <c r="P75" s="52"/>
      <c r="Q75" s="5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835" t="s">
        <v>111</v>
      </c>
      <c r="I76" s="852"/>
      <c r="J76" s="852"/>
      <c r="K76" s="836"/>
      <c r="L76" s="115"/>
      <c r="M76" s="62"/>
      <c r="P76" s="52"/>
      <c r="Q76" s="5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853" t="s">
        <v>123</v>
      </c>
      <c r="I79" s="850"/>
      <c r="J79" s="850"/>
      <c r="K79" s="851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853" t="s">
        <v>117</v>
      </c>
      <c r="I86" s="850"/>
      <c r="J86" s="850"/>
      <c r="K86" s="851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835" t="s">
        <v>118</v>
      </c>
      <c r="I87" s="852"/>
      <c r="J87" s="852"/>
      <c r="K87" s="836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835" t="s">
        <v>119</v>
      </c>
      <c r="I88" s="852"/>
      <c r="J88" s="852"/>
      <c r="K88" s="836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865" t="s">
        <v>129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7"/>
      <c r="M93" s="67">
        <f>SUM(M86,M79,M73,M68,M60,M54,M49,M41,M35,M29,M24,M17,M9,M6)</f>
        <v>1.4338660130718957</v>
      </c>
    </row>
    <row r="94" spans="1:32" x14ac:dyDescent="0.5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75:K75"/>
    <mergeCell ref="H76:K76"/>
    <mergeCell ref="A93:L93"/>
    <mergeCell ref="H86:K86"/>
    <mergeCell ref="H87:K87"/>
    <mergeCell ref="H88:K88"/>
    <mergeCell ref="H79:K79"/>
    <mergeCell ref="H74:K74"/>
    <mergeCell ref="H68:K68"/>
    <mergeCell ref="H69:K69"/>
    <mergeCell ref="H70:K70"/>
    <mergeCell ref="H73:K73"/>
    <mergeCell ref="H51:K51"/>
    <mergeCell ref="H53:K53"/>
    <mergeCell ref="H60:K60"/>
    <mergeCell ref="H61:K61"/>
    <mergeCell ref="H62:K62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9:I10"/>
    <mergeCell ref="J9:K9"/>
    <mergeCell ref="H11:I11"/>
    <mergeCell ref="H13:I13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2.140625" style="292" bestFit="1" customWidth="1"/>
    <col min="19" max="19" width="9.140625" style="292"/>
    <col min="20" max="21" width="9.85546875" style="292" bestFit="1" customWidth="1"/>
    <col min="22" max="22" width="9.140625" style="292"/>
    <col min="23" max="24" width="9.85546875" style="292" bestFit="1" customWidth="1"/>
    <col min="25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402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v>4.8018999999999998</v>
      </c>
      <c r="M6" s="305">
        <f>IF(L6=0,"-",ROUND(L6*B6/B$75,4))</f>
        <v>0.3201</v>
      </c>
      <c r="N6" s="425" t="s">
        <v>213</v>
      </c>
      <c r="Q6" s="545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/>
      <c r="Q7" s="545"/>
      <c r="R7" s="545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  <c r="Q9" s="602"/>
      <c r="R9" s="603"/>
      <c r="S9" s="442"/>
      <c r="T9" s="623"/>
      <c r="U9" s="623"/>
      <c r="V9" s="441"/>
      <c r="W9" s="441"/>
      <c r="X9" s="441"/>
      <c r="Y9" s="441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  <c r="Q10" s="602"/>
      <c r="R10" s="603"/>
      <c r="S10" s="442"/>
      <c r="T10" s="623"/>
      <c r="U10" s="623"/>
      <c r="V10" s="441"/>
      <c r="W10" s="441"/>
      <c r="X10" s="441"/>
      <c r="Y10" s="441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  <c r="Q11" s="298" t="s">
        <v>488</v>
      </c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Q12" s="568" t="s">
        <v>228</v>
      </c>
      <c r="R12" s="568" t="s">
        <v>238</v>
      </c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2+O16</f>
        <v>2.6342288514734293</v>
      </c>
      <c r="M13" s="305">
        <f>IF(L13=0,"-",ROUND(L13*B13/B$75,4))</f>
        <v>0.52680000000000005</v>
      </c>
      <c r="N13" s="425" t="s">
        <v>199</v>
      </c>
      <c r="O13" s="450" t="s">
        <v>369</v>
      </c>
      <c r="P13" s="452"/>
      <c r="Q13" s="453">
        <f>สพญ.!R22</f>
        <v>289746900</v>
      </c>
      <c r="R13" s="742">
        <f>สพญ.!S22</f>
        <v>76.025000000000006</v>
      </c>
      <c r="S13" s="292" t="s">
        <v>51</v>
      </c>
      <c r="T13" s="481" t="s">
        <v>213</v>
      </c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25" t="s">
        <v>236</v>
      </c>
      <c r="O14" s="450" t="s">
        <v>370</v>
      </c>
      <c r="P14" s="452"/>
      <c r="Q14" s="453">
        <f>สพญ.!R23</f>
        <v>55458000</v>
      </c>
      <c r="R14" s="742">
        <f>สพญ.!S23</f>
        <v>78</v>
      </c>
      <c r="S14" s="292" t="s">
        <v>51</v>
      </c>
      <c r="T14" s="481" t="s">
        <v>213</v>
      </c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N15" s="642">
        <v>10</v>
      </c>
      <c r="O15" s="643">
        <v>1</v>
      </c>
      <c r="P15" s="292" t="s">
        <v>344</v>
      </c>
      <c r="Q15" s="447">
        <f>SUM(Q13:Q14)</f>
        <v>345204900</v>
      </c>
      <c r="R15" s="545"/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644">
        <f>J18-70</f>
        <v>6.3422885147342924</v>
      </c>
      <c r="O16" s="643">
        <f>O15*N16/N15</f>
        <v>0.63422885147342922</v>
      </c>
      <c r="Q16" s="436">
        <f>((R13*Q13)+(R14*Q14))/Q15</f>
        <v>76.342288514734292</v>
      </c>
      <c r="R16" s="292" t="s">
        <v>51</v>
      </c>
    </row>
    <row r="17" spans="1:27" ht="23.25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N17" s="425"/>
    </row>
    <row r="18" spans="1:27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Q16</f>
        <v>76.342288514734292</v>
      </c>
      <c r="K18" s="570" t="s">
        <v>51</v>
      </c>
      <c r="L18" s="307"/>
      <c r="M18" s="308"/>
      <c r="N18" s="425"/>
    </row>
    <row r="19" spans="1:27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N19" s="425"/>
      <c r="Q19" s="568" t="s">
        <v>228</v>
      </c>
      <c r="R19" s="568" t="s">
        <v>330</v>
      </c>
      <c r="S19" s="568" t="s">
        <v>51</v>
      </c>
    </row>
    <row r="20" spans="1:27" ht="25.5" x14ac:dyDescent="0.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894" t="s">
        <v>57</v>
      </c>
      <c r="I20" s="895"/>
      <c r="J20" s="895"/>
      <c r="K20" s="896"/>
      <c r="L20" s="304">
        <f>2+O24</f>
        <v>2.7906741894736844</v>
      </c>
      <c r="M20" s="305">
        <f>IF(L20=0,"-",ROUND(L20*B20/B$75,4))</f>
        <v>0.186</v>
      </c>
      <c r="N20" s="425" t="s">
        <v>199</v>
      </c>
      <c r="O20" s="292" t="s">
        <v>371</v>
      </c>
      <c r="P20" s="481" t="s">
        <v>213</v>
      </c>
      <c r="Q20" s="462">
        <f>สพญ.!AA57</f>
        <v>300000</v>
      </c>
      <c r="R20" s="743">
        <f>สพญ.!AB57</f>
        <v>276477.90000000002</v>
      </c>
      <c r="S20" s="433">
        <f t="shared" ref="S20:S22" si="0">R20*100/Q20</f>
        <v>92.159300000000016</v>
      </c>
      <c r="T20" s="292" t="s">
        <v>51</v>
      </c>
      <c r="U20" s="495"/>
      <c r="V20" s="463"/>
      <c r="W20" s="496"/>
      <c r="X20" s="617"/>
      <c r="Y20" s="441"/>
      <c r="Z20" s="441"/>
      <c r="AA20" s="441"/>
    </row>
    <row r="21" spans="1:27" ht="25.5" x14ac:dyDescent="0.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69" t="s">
        <v>58</v>
      </c>
      <c r="I21" s="573"/>
      <c r="J21" s="573"/>
      <c r="K21" s="570"/>
      <c r="L21" s="307"/>
      <c r="M21" s="308"/>
      <c r="N21" s="481" t="s">
        <v>236</v>
      </c>
      <c r="O21" s="292" t="s">
        <v>372</v>
      </c>
      <c r="P21" s="481" t="s">
        <v>213</v>
      </c>
      <c r="Q21" s="464">
        <f>สพญ.!AA58</f>
        <v>300000</v>
      </c>
      <c r="R21" s="744">
        <f>สพญ.!AB58</f>
        <v>285121.71000000002</v>
      </c>
      <c r="S21" s="433">
        <f t="shared" si="0"/>
        <v>95.040570000000017</v>
      </c>
      <c r="T21" s="292" t="s">
        <v>51</v>
      </c>
      <c r="U21" s="495"/>
      <c r="V21" s="463"/>
      <c r="W21" s="496"/>
      <c r="X21" s="617"/>
      <c r="Y21" s="441"/>
      <c r="Z21" s="441"/>
      <c r="AA21" s="441"/>
    </row>
    <row r="22" spans="1:27" ht="25.5" x14ac:dyDescent="0.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69" t="s">
        <v>147</v>
      </c>
      <c r="I22" s="573"/>
      <c r="J22" s="573"/>
      <c r="K22" s="570"/>
      <c r="L22" s="307"/>
      <c r="M22" s="308"/>
      <c r="O22" s="292" t="s">
        <v>373</v>
      </c>
      <c r="P22" s="481" t="s">
        <v>213</v>
      </c>
      <c r="Q22" s="466">
        <f>สพญ.!AA59</f>
        <v>350000</v>
      </c>
      <c r="R22" s="745">
        <f>สพญ.!AB59</f>
        <v>338685.51</v>
      </c>
      <c r="S22" s="433">
        <f t="shared" si="0"/>
        <v>96.767288571428566</v>
      </c>
      <c r="T22" s="292" t="s">
        <v>51</v>
      </c>
      <c r="U22" s="495"/>
      <c r="V22" s="463"/>
      <c r="W22" s="496"/>
      <c r="X22" s="617"/>
      <c r="Y22" s="441"/>
      <c r="Z22" s="441"/>
      <c r="AA22" s="441"/>
    </row>
    <row r="23" spans="1:27" ht="23.25" x14ac:dyDescent="0.35">
      <c r="A23" s="309"/>
      <c r="B23" s="352"/>
      <c r="C23" s="320"/>
      <c r="D23" s="320"/>
      <c r="E23" s="320"/>
      <c r="F23" s="320"/>
      <c r="G23" s="320"/>
      <c r="H23" s="569" t="s">
        <v>180</v>
      </c>
      <c r="I23" s="573"/>
      <c r="J23" s="573"/>
      <c r="K23" s="570"/>
      <c r="L23" s="307"/>
      <c r="M23" s="308"/>
      <c r="N23" s="292">
        <v>25</v>
      </c>
      <c r="O23" s="431">
        <v>1</v>
      </c>
      <c r="P23" s="292" t="s">
        <v>344</v>
      </c>
      <c r="Q23" s="447">
        <f>SUM(Q20:Q22)</f>
        <v>950000</v>
      </c>
      <c r="R23" s="545">
        <f>SUM(R20:R22)</f>
        <v>900285.12000000011</v>
      </c>
      <c r="U23" s="441"/>
      <c r="V23" s="441"/>
      <c r="W23" s="441"/>
      <c r="X23" s="441"/>
      <c r="Y23" s="441"/>
      <c r="Z23" s="441"/>
      <c r="AA23" s="441"/>
    </row>
    <row r="24" spans="1:27" ht="23.25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324">
        <f>Q24</f>
        <v>94.766854736842106</v>
      </c>
      <c r="K24" s="570" t="s">
        <v>51</v>
      </c>
      <c r="L24" s="307"/>
      <c r="M24" s="308"/>
      <c r="N24" s="540">
        <f>J24-75</f>
        <v>19.766854736842106</v>
      </c>
      <c r="O24" s="640">
        <f>O23*N24/N23</f>
        <v>0.79067418947368429</v>
      </c>
      <c r="Q24" s="479">
        <f>((Q20*S20)+(Q21*S21)+(Q22*S22))/Q23</f>
        <v>94.766854736842106</v>
      </c>
      <c r="R24" s="292" t="s">
        <v>51</v>
      </c>
    </row>
    <row r="25" spans="1:27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27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4" t="s">
        <v>148</v>
      </c>
      <c r="I26" s="571"/>
      <c r="J26" s="571"/>
      <c r="K26" s="572"/>
      <c r="L26" s="304">
        <f>4+O30</f>
        <v>4.8829524307468546</v>
      </c>
      <c r="M26" s="305">
        <f>IF(L26=0,"-",ROUND(L26*B26/B$75,4))</f>
        <v>0.32550000000000001</v>
      </c>
      <c r="N26" s="425" t="s">
        <v>331</v>
      </c>
      <c r="O26" s="645" t="s">
        <v>214</v>
      </c>
      <c r="P26" s="451"/>
      <c r="Q26" s="473">
        <v>119999929</v>
      </c>
      <c r="R26" s="292" t="s">
        <v>187</v>
      </c>
      <c r="S26" s="481" t="s">
        <v>213</v>
      </c>
    </row>
    <row r="27" spans="1:27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1" t="s">
        <v>236</v>
      </c>
      <c r="O27" s="329" t="s">
        <v>215</v>
      </c>
      <c r="P27" s="444"/>
      <c r="Q27" s="473">
        <v>119859472</v>
      </c>
      <c r="R27" s="292" t="s">
        <v>187</v>
      </c>
      <c r="S27" s="481" t="s">
        <v>213</v>
      </c>
    </row>
    <row r="28" spans="1:27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Q28" s="646">
        <f>Q27*100/Q26</f>
        <v>99.882952430746855</v>
      </c>
      <c r="R28" s="292" t="s">
        <v>51</v>
      </c>
    </row>
    <row r="29" spans="1:27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N29" s="292">
        <v>1</v>
      </c>
      <c r="O29" s="704">
        <v>1</v>
      </c>
    </row>
    <row r="30" spans="1:27" ht="23.25" x14ac:dyDescent="0.35">
      <c r="A30" s="309"/>
      <c r="B30" s="352"/>
      <c r="C30" s="320"/>
      <c r="D30" s="320"/>
      <c r="E30" s="320"/>
      <c r="F30" s="320"/>
      <c r="G30" s="311"/>
      <c r="H30" s="569"/>
      <c r="I30" s="323" t="s">
        <v>56</v>
      </c>
      <c r="J30" s="605">
        <f>Q28</f>
        <v>99.882952430746855</v>
      </c>
      <c r="K30" s="570" t="s">
        <v>51</v>
      </c>
      <c r="L30" s="307"/>
      <c r="M30" s="308"/>
      <c r="N30" s="624">
        <f>J30-99</f>
        <v>0.88295243074685459</v>
      </c>
      <c r="O30" s="704">
        <f>N30*O29/N29</f>
        <v>0.88295243074685459</v>
      </c>
    </row>
    <row r="31" spans="1:27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27" ht="23.25" x14ac:dyDescent="0.35">
      <c r="A32" s="302" t="s">
        <v>184</v>
      </c>
      <c r="B32" s="403">
        <v>4</v>
      </c>
      <c r="C32" s="332">
        <v>0.5</v>
      </c>
      <c r="D32" s="332">
        <v>0.75</v>
      </c>
      <c r="E32" s="332">
        <v>1</v>
      </c>
      <c r="F32" s="332">
        <v>1</v>
      </c>
      <c r="G32" s="332">
        <v>1</v>
      </c>
      <c r="H32" s="574" t="s">
        <v>152</v>
      </c>
      <c r="I32" s="571"/>
      <c r="J32" s="571"/>
      <c r="K32" s="572"/>
      <c r="L32" s="304">
        <v>5</v>
      </c>
      <c r="M32" s="305">
        <f>IF(L32=0,"-",ROUND(L32*B32/B$75,4))</f>
        <v>0.33329999999999999</v>
      </c>
      <c r="N32" s="425" t="s">
        <v>332</v>
      </c>
    </row>
    <row r="33" spans="1:14" ht="23.25" x14ac:dyDescent="0.35">
      <c r="A33" s="309" t="s">
        <v>151</v>
      </c>
      <c r="B33" s="406"/>
      <c r="C33" s="335"/>
      <c r="D33" s="335"/>
      <c r="E33" s="335"/>
      <c r="F33" s="335" t="s">
        <v>70</v>
      </c>
      <c r="G33" s="335" t="s">
        <v>70</v>
      </c>
      <c r="H33" s="573" t="s">
        <v>153</v>
      </c>
      <c r="I33" s="573"/>
      <c r="J33" s="573"/>
      <c r="K33" s="570"/>
      <c r="L33" s="307"/>
      <c r="M33" s="308"/>
      <c r="N33" s="425" t="s">
        <v>236</v>
      </c>
    </row>
    <row r="34" spans="1:14" ht="23.25" x14ac:dyDescent="0.35">
      <c r="A34" s="309"/>
      <c r="B34" s="406"/>
      <c r="C34" s="335"/>
      <c r="D34" s="335"/>
      <c r="E34" s="335"/>
      <c r="F34" s="335" t="s">
        <v>137</v>
      </c>
      <c r="G34" s="335" t="s">
        <v>138</v>
      </c>
      <c r="H34" s="573" t="s">
        <v>180</v>
      </c>
      <c r="I34" s="573"/>
      <c r="J34" s="573"/>
      <c r="K34" s="570"/>
      <c r="L34" s="307"/>
      <c r="M34" s="308"/>
      <c r="N34" s="425"/>
    </row>
    <row r="35" spans="1:14" ht="23.25" x14ac:dyDescent="0.35">
      <c r="A35" s="309"/>
      <c r="B35" s="406"/>
      <c r="C35" s="336"/>
      <c r="D35" s="336"/>
      <c r="E35" s="336"/>
      <c r="F35" s="336"/>
      <c r="G35" s="390"/>
      <c r="H35" s="569"/>
      <c r="I35" s="323" t="s">
        <v>56</v>
      </c>
      <c r="J35" s="324">
        <v>100</v>
      </c>
      <c r="K35" s="570" t="s">
        <v>51</v>
      </c>
      <c r="L35" s="307"/>
      <c r="M35" s="308"/>
      <c r="N35" s="425"/>
    </row>
    <row r="36" spans="1:14" ht="23.25" x14ac:dyDescent="0.35">
      <c r="A36" s="325"/>
      <c r="B36" s="359"/>
      <c r="C36" s="310"/>
      <c r="D36" s="310"/>
      <c r="E36" s="310"/>
      <c r="F36" s="310"/>
      <c r="G36" s="310"/>
      <c r="H36" s="565"/>
      <c r="I36" s="566"/>
      <c r="J36" s="566"/>
      <c r="K36" s="567"/>
      <c r="L36" s="326"/>
      <c r="M36" s="299"/>
      <c r="N36" s="425"/>
    </row>
    <row r="37" spans="1:14" ht="23.25" x14ac:dyDescent="0.35">
      <c r="A37" s="302" t="s">
        <v>185</v>
      </c>
      <c r="B37" s="403">
        <v>12</v>
      </c>
      <c r="C37" s="332">
        <v>0.78</v>
      </c>
      <c r="D37" s="332">
        <v>0.81</v>
      </c>
      <c r="E37" s="332">
        <v>0.84</v>
      </c>
      <c r="F37" s="332">
        <v>0.87</v>
      </c>
      <c r="G37" s="332">
        <v>0.9</v>
      </c>
      <c r="H37" s="574" t="s">
        <v>186</v>
      </c>
      <c r="I37" s="571"/>
      <c r="J37" s="571"/>
      <c r="K37" s="572"/>
      <c r="L37" s="304">
        <v>1</v>
      </c>
      <c r="M37" s="305">
        <f>IF(L37=0,"-",ROUND(L37*B37/B$75,4))</f>
        <v>0.2</v>
      </c>
      <c r="N37" s="425" t="s">
        <v>199</v>
      </c>
    </row>
    <row r="38" spans="1:14" ht="23.25" x14ac:dyDescent="0.35">
      <c r="A38" s="309" t="s">
        <v>85</v>
      </c>
      <c r="B38" s="352"/>
      <c r="C38" s="320"/>
      <c r="D38" s="320"/>
      <c r="E38" s="320"/>
      <c r="F38" s="320"/>
      <c r="G38" s="320"/>
      <c r="H38" s="569" t="s">
        <v>196</v>
      </c>
      <c r="I38" s="573"/>
      <c r="J38" s="573"/>
      <c r="K38" s="570"/>
      <c r="L38" s="307"/>
      <c r="M38" s="308"/>
      <c r="N38" s="481" t="s">
        <v>236</v>
      </c>
    </row>
    <row r="39" spans="1:14" ht="23.25" x14ac:dyDescent="0.35">
      <c r="A39" s="309"/>
      <c r="B39" s="352"/>
      <c r="C39" s="320"/>
      <c r="D39" s="320"/>
      <c r="E39" s="320"/>
      <c r="F39" s="320"/>
      <c r="G39" s="320"/>
      <c r="H39" s="327"/>
      <c r="I39" s="327" t="s">
        <v>87</v>
      </c>
      <c r="J39" s="429">
        <v>332540000</v>
      </c>
      <c r="K39" s="570" t="s">
        <v>187</v>
      </c>
      <c r="L39" s="307"/>
      <c r="M39" s="308"/>
      <c r="N39" s="425"/>
    </row>
    <row r="40" spans="1:14" ht="23.25" x14ac:dyDescent="0.35">
      <c r="A40" s="309"/>
      <c r="B40" s="352"/>
      <c r="C40" s="320"/>
      <c r="D40" s="320"/>
      <c r="E40" s="320"/>
      <c r="F40" s="320"/>
      <c r="G40" s="320"/>
      <c r="H40" s="327"/>
      <c r="I40" s="323" t="s">
        <v>188</v>
      </c>
      <c r="J40" s="430">
        <v>255660000</v>
      </c>
      <c r="K40" s="570" t="s">
        <v>187</v>
      </c>
      <c r="L40" s="307"/>
      <c r="M40" s="308"/>
      <c r="N40" s="425"/>
    </row>
    <row r="41" spans="1:14" ht="23.25" x14ac:dyDescent="0.35">
      <c r="A41" s="309"/>
      <c r="B41" s="352"/>
      <c r="C41" s="320"/>
      <c r="D41" s="320"/>
      <c r="E41" s="320"/>
      <c r="F41" s="320"/>
      <c r="G41" s="320"/>
      <c r="H41" s="327"/>
      <c r="I41" s="323" t="s">
        <v>189</v>
      </c>
      <c r="J41" s="426">
        <f>J40*100/J39</f>
        <v>76.880976724604565</v>
      </c>
      <c r="K41" s="570" t="s">
        <v>51</v>
      </c>
      <c r="L41" s="307"/>
      <c r="M41" s="308"/>
      <c r="N41" s="425"/>
    </row>
    <row r="42" spans="1:14" ht="23.25" x14ac:dyDescent="0.35">
      <c r="A42" s="325"/>
      <c r="B42" s="359"/>
      <c r="C42" s="310"/>
      <c r="D42" s="310"/>
      <c r="E42" s="310"/>
      <c r="F42" s="310"/>
      <c r="G42" s="310"/>
      <c r="H42" s="337"/>
      <c r="I42" s="423"/>
      <c r="J42" s="338"/>
      <c r="K42" s="424"/>
      <c r="L42" s="326"/>
      <c r="M42" s="299"/>
      <c r="N42" s="425"/>
    </row>
    <row r="43" spans="1:14" ht="23.25" x14ac:dyDescent="0.35">
      <c r="A43" s="339" t="s">
        <v>190</v>
      </c>
      <c r="B43" s="407">
        <v>4</v>
      </c>
      <c r="C43" s="340">
        <v>0.65</v>
      </c>
      <c r="D43" s="340">
        <v>0.7</v>
      </c>
      <c r="E43" s="340">
        <v>0.75</v>
      </c>
      <c r="F43" s="340">
        <v>0.8</v>
      </c>
      <c r="G43" s="340">
        <v>0.85</v>
      </c>
      <c r="H43" s="574" t="s">
        <v>156</v>
      </c>
      <c r="I43" s="571"/>
      <c r="J43" s="571"/>
      <c r="K43" s="572"/>
      <c r="L43" s="304">
        <v>1</v>
      </c>
      <c r="M43" s="305">
        <f>IF(L43=0,"-",ROUND(L43*B43/B$75,4))</f>
        <v>6.6699999999999995E-2</v>
      </c>
      <c r="N43" s="425" t="s">
        <v>337</v>
      </c>
    </row>
    <row r="44" spans="1:14" ht="23.25" x14ac:dyDescent="0.35">
      <c r="A44" s="309" t="s">
        <v>145</v>
      </c>
      <c r="B44" s="352"/>
      <c r="C44" s="320"/>
      <c r="D44" s="320"/>
      <c r="E44" s="320"/>
      <c r="F44" s="320"/>
      <c r="G44" s="320"/>
      <c r="H44" s="569" t="s">
        <v>104</v>
      </c>
      <c r="I44" s="573"/>
      <c r="J44" s="573"/>
      <c r="K44" s="570"/>
      <c r="L44" s="307"/>
      <c r="M44" s="308"/>
      <c r="N44" s="481" t="s">
        <v>236</v>
      </c>
    </row>
    <row r="45" spans="1:14" ht="23.25" x14ac:dyDescent="0.35">
      <c r="A45" s="389" t="s">
        <v>155</v>
      </c>
      <c r="B45" s="352"/>
      <c r="C45" s="320"/>
      <c r="D45" s="320"/>
      <c r="E45" s="320"/>
      <c r="F45" s="320"/>
      <c r="G45" s="320"/>
      <c r="H45" s="569" t="s">
        <v>105</v>
      </c>
      <c r="I45" s="573"/>
      <c r="J45" s="573"/>
      <c r="K45" s="570"/>
      <c r="L45" s="307"/>
      <c r="M45" s="308"/>
      <c r="N45" s="425"/>
    </row>
    <row r="46" spans="1:14" ht="23.25" x14ac:dyDescent="0.35">
      <c r="A46" s="309"/>
      <c r="B46" s="352"/>
      <c r="C46" s="320"/>
      <c r="D46" s="320"/>
      <c r="E46" s="320"/>
      <c r="F46" s="320"/>
      <c r="G46" s="320"/>
      <c r="H46" s="341"/>
      <c r="I46" s="342" t="s">
        <v>113</v>
      </c>
      <c r="J46" s="343" t="s">
        <v>11</v>
      </c>
      <c r="K46" s="570" t="s">
        <v>51</v>
      </c>
      <c r="L46" s="307"/>
      <c r="M46" s="308"/>
      <c r="N46" s="425"/>
    </row>
    <row r="47" spans="1:14" ht="23.25" x14ac:dyDescent="0.35">
      <c r="A47" s="325"/>
      <c r="B47" s="359"/>
      <c r="C47" s="310"/>
      <c r="D47" s="310"/>
      <c r="E47" s="310"/>
      <c r="F47" s="310"/>
      <c r="G47" s="415"/>
      <c r="H47" s="891" t="s">
        <v>211</v>
      </c>
      <c r="I47" s="892"/>
      <c r="J47" s="892"/>
      <c r="K47" s="893"/>
      <c r="L47" s="326"/>
      <c r="M47" s="299"/>
      <c r="N47" s="425"/>
    </row>
    <row r="48" spans="1:14" ht="23.25" x14ac:dyDescent="0.35">
      <c r="A48" s="302" t="s">
        <v>106</v>
      </c>
      <c r="B48" s="407">
        <v>4</v>
      </c>
      <c r="C48" s="346" t="s">
        <v>29</v>
      </c>
      <c r="D48" s="346" t="s">
        <v>30</v>
      </c>
      <c r="E48" s="346" t="s">
        <v>31</v>
      </c>
      <c r="F48" s="346" t="s">
        <v>32</v>
      </c>
      <c r="G48" s="346" t="s">
        <v>33</v>
      </c>
      <c r="H48" s="574" t="s">
        <v>108</v>
      </c>
      <c r="I48" s="571"/>
      <c r="J48" s="571"/>
      <c r="K48" s="572"/>
      <c r="L48" s="304">
        <v>3</v>
      </c>
      <c r="M48" s="305">
        <f>IF(L48=0,"-",ROUND(L48*B48/B$75,4))</f>
        <v>0.2</v>
      </c>
      <c r="N48" s="425" t="s">
        <v>332</v>
      </c>
    </row>
    <row r="49" spans="1:15" ht="23.25" x14ac:dyDescent="0.35">
      <c r="A49" s="309" t="s">
        <v>107</v>
      </c>
      <c r="B49" s="352"/>
      <c r="C49" s="348">
        <v>1.5</v>
      </c>
      <c r="D49" s="348">
        <v>2</v>
      </c>
      <c r="E49" s="348">
        <v>2.5</v>
      </c>
      <c r="F49" s="348">
        <v>3</v>
      </c>
      <c r="G49" s="348">
        <v>5</v>
      </c>
      <c r="H49" s="569" t="s">
        <v>146</v>
      </c>
      <c r="I49" s="573"/>
      <c r="J49" s="573"/>
      <c r="K49" s="570"/>
      <c r="L49" s="307"/>
      <c r="M49" s="308"/>
      <c r="N49" s="425" t="s">
        <v>236</v>
      </c>
    </row>
    <row r="50" spans="1:15" ht="23.25" x14ac:dyDescent="0.35">
      <c r="A50" s="309"/>
      <c r="B50" s="352"/>
      <c r="C50" s="344"/>
      <c r="D50" s="344"/>
      <c r="E50" s="344"/>
      <c r="F50" s="344"/>
      <c r="G50" s="344"/>
      <c r="H50" s="569" t="s">
        <v>110</v>
      </c>
      <c r="I50" s="573"/>
      <c r="J50" s="573"/>
      <c r="K50" s="570"/>
      <c r="L50" s="307"/>
      <c r="M50" s="308"/>
      <c r="N50" s="425"/>
    </row>
    <row r="51" spans="1:15" ht="23.25" x14ac:dyDescent="0.35">
      <c r="A51" s="309"/>
      <c r="B51" s="352"/>
      <c r="C51" s="344"/>
      <c r="D51" s="344"/>
      <c r="E51" s="344"/>
      <c r="F51" s="344"/>
      <c r="G51" s="344"/>
      <c r="H51" s="569" t="s">
        <v>191</v>
      </c>
      <c r="I51" s="573"/>
      <c r="J51" s="573"/>
      <c r="K51" s="570"/>
      <c r="L51" s="307"/>
      <c r="M51" s="308"/>
      <c r="N51" s="425"/>
    </row>
    <row r="52" spans="1:15" ht="23.25" x14ac:dyDescent="0.35">
      <c r="A52" s="309"/>
      <c r="B52" s="352"/>
      <c r="C52" s="344"/>
      <c r="D52" s="344"/>
      <c r="E52" s="344"/>
      <c r="F52" s="344"/>
      <c r="G52" s="344"/>
      <c r="H52" s="569"/>
      <c r="I52" s="323" t="s">
        <v>112</v>
      </c>
      <c r="J52" s="324">
        <v>2.5</v>
      </c>
      <c r="K52" s="382"/>
      <c r="L52" s="307"/>
      <c r="M52" s="308"/>
      <c r="N52" s="425"/>
    </row>
    <row r="53" spans="1:15" ht="23.25" x14ac:dyDescent="0.35">
      <c r="A53" s="325"/>
      <c r="B53" s="359"/>
      <c r="C53" s="310"/>
      <c r="D53" s="310"/>
      <c r="E53" s="310"/>
      <c r="F53" s="310"/>
      <c r="G53" s="310"/>
      <c r="H53" s="891"/>
      <c r="I53" s="892"/>
      <c r="J53" s="892"/>
      <c r="K53" s="893"/>
      <c r="L53" s="326"/>
      <c r="M53" s="299"/>
      <c r="N53" s="425"/>
    </row>
    <row r="54" spans="1:15" ht="23.25" x14ac:dyDescent="0.35">
      <c r="A54" s="350" t="s">
        <v>132</v>
      </c>
      <c r="B54" s="407">
        <v>4</v>
      </c>
      <c r="C54" s="340">
        <v>0.1</v>
      </c>
      <c r="D54" s="340">
        <v>0.3</v>
      </c>
      <c r="E54" s="340">
        <v>0.5</v>
      </c>
      <c r="F54" s="340">
        <v>0.7</v>
      </c>
      <c r="G54" s="340">
        <v>1</v>
      </c>
      <c r="H54" s="574" t="s">
        <v>123</v>
      </c>
      <c r="I54" s="571"/>
      <c r="J54" s="571"/>
      <c r="K54" s="572"/>
      <c r="L54" s="304">
        <f>4+O57</f>
        <v>4.4333333333333336</v>
      </c>
      <c r="M54" s="305">
        <f>IF(L54=0,"-",ROUND(L54*B54/B$75,4))</f>
        <v>0.29559999999999997</v>
      </c>
      <c r="N54" s="425" t="s">
        <v>202</v>
      </c>
    </row>
    <row r="55" spans="1:15" ht="23.25" x14ac:dyDescent="0.35">
      <c r="A55" s="351" t="s">
        <v>192</v>
      </c>
      <c r="B55" s="352"/>
      <c r="C55" s="320"/>
      <c r="D55" s="320"/>
      <c r="E55" s="320"/>
      <c r="F55" s="320"/>
      <c r="G55" s="311"/>
      <c r="H55" s="569" t="s">
        <v>124</v>
      </c>
      <c r="I55" s="322"/>
      <c r="J55" s="353"/>
      <c r="K55" s="354"/>
      <c r="L55" s="355"/>
      <c r="M55" s="308"/>
      <c r="N55" s="425" t="s">
        <v>236</v>
      </c>
    </row>
    <row r="56" spans="1:15" ht="23.25" x14ac:dyDescent="0.35">
      <c r="A56" s="351"/>
      <c r="B56" s="352"/>
      <c r="C56" s="320"/>
      <c r="D56" s="320"/>
      <c r="E56" s="320"/>
      <c r="F56" s="320"/>
      <c r="G56" s="320"/>
      <c r="H56" s="573" t="s">
        <v>125</v>
      </c>
      <c r="I56" s="322"/>
      <c r="J56" s="353"/>
      <c r="K56" s="354"/>
      <c r="L56" s="355"/>
      <c r="M56" s="308"/>
      <c r="N56" s="425">
        <v>30</v>
      </c>
      <c r="O56" s="431">
        <v>1</v>
      </c>
    </row>
    <row r="57" spans="1:15" ht="23.25" x14ac:dyDescent="0.35">
      <c r="A57" s="351"/>
      <c r="B57" s="352"/>
      <c r="C57" s="320"/>
      <c r="D57" s="320"/>
      <c r="E57" s="320"/>
      <c r="F57" s="320"/>
      <c r="G57" s="320"/>
      <c r="H57" s="569" t="s">
        <v>126</v>
      </c>
      <c r="I57" s="322"/>
      <c r="J57" s="353"/>
      <c r="K57" s="354"/>
      <c r="L57" s="355"/>
      <c r="M57" s="308"/>
      <c r="N57" s="647">
        <f>J59-70</f>
        <v>13</v>
      </c>
      <c r="O57" s="431">
        <f>O56*N57/N56</f>
        <v>0.43333333333333335</v>
      </c>
    </row>
    <row r="58" spans="1:15" ht="23.25" x14ac:dyDescent="0.35">
      <c r="A58" s="351"/>
      <c r="B58" s="352"/>
      <c r="C58" s="320"/>
      <c r="D58" s="320"/>
      <c r="E58" s="320"/>
      <c r="F58" s="320"/>
      <c r="G58" s="320"/>
      <c r="H58" s="569" t="s">
        <v>127</v>
      </c>
      <c r="I58" s="322"/>
      <c r="J58" s="353"/>
      <c r="K58" s="354"/>
      <c r="L58" s="355"/>
      <c r="M58" s="308"/>
      <c r="N58" s="425"/>
    </row>
    <row r="59" spans="1:15" ht="23.25" x14ac:dyDescent="0.35">
      <c r="A59" s="351"/>
      <c r="B59" s="352"/>
      <c r="C59" s="320"/>
      <c r="D59" s="320"/>
      <c r="E59" s="320"/>
      <c r="F59" s="320"/>
      <c r="G59" s="320"/>
      <c r="H59" s="569"/>
      <c r="I59" s="323" t="s">
        <v>114</v>
      </c>
      <c r="J59" s="408">
        <f>สพญ.!S97</f>
        <v>83</v>
      </c>
      <c r="K59" s="382" t="s">
        <v>51</v>
      </c>
      <c r="L59" s="355"/>
      <c r="M59" s="308"/>
      <c r="N59" s="425"/>
    </row>
    <row r="60" spans="1:15" ht="23.25" x14ac:dyDescent="0.35">
      <c r="A60" s="358"/>
      <c r="B60" s="359"/>
      <c r="C60" s="310"/>
      <c r="D60" s="310"/>
      <c r="E60" s="310"/>
      <c r="F60" s="310"/>
      <c r="G60" s="310"/>
      <c r="H60" s="330"/>
      <c r="I60" s="423"/>
      <c r="J60" s="423"/>
      <c r="K60" s="424"/>
      <c r="L60" s="360"/>
      <c r="M60" s="299"/>
      <c r="N60" s="425"/>
    </row>
    <row r="61" spans="1:15" ht="23.25" x14ac:dyDescent="0.35">
      <c r="A61" s="302" t="s">
        <v>115</v>
      </c>
      <c r="B61" s="407">
        <v>4</v>
      </c>
      <c r="C61" s="361">
        <v>0.8</v>
      </c>
      <c r="D61" s="361">
        <v>0.85</v>
      </c>
      <c r="E61" s="361">
        <v>0.9</v>
      </c>
      <c r="F61" s="361">
        <v>0.95</v>
      </c>
      <c r="G61" s="361">
        <v>1</v>
      </c>
      <c r="H61" s="574" t="s">
        <v>157</v>
      </c>
      <c r="I61" s="571"/>
      <c r="J61" s="571"/>
      <c r="K61" s="572"/>
      <c r="L61" s="304">
        <v>5</v>
      </c>
      <c r="M61" s="305">
        <f>IF(L61=0,"-",ROUND(L61*B61/B$75,4))</f>
        <v>0.33329999999999999</v>
      </c>
      <c r="N61" s="425" t="s">
        <v>213</v>
      </c>
    </row>
    <row r="62" spans="1:15" ht="23.25" x14ac:dyDescent="0.35">
      <c r="A62" s="309" t="s">
        <v>116</v>
      </c>
      <c r="B62" s="352"/>
      <c r="C62" s="348"/>
      <c r="D62" s="348"/>
      <c r="E62" s="348"/>
      <c r="F62" s="348"/>
      <c r="G62" s="348"/>
      <c r="H62" s="569" t="s">
        <v>158</v>
      </c>
      <c r="I62" s="573"/>
      <c r="J62" s="573"/>
      <c r="K62" s="570"/>
      <c r="L62" s="362"/>
      <c r="M62" s="308"/>
      <c r="N62" s="425"/>
    </row>
    <row r="63" spans="1:15" ht="23.25" x14ac:dyDescent="0.35">
      <c r="A63" s="309" t="s">
        <v>193</v>
      </c>
      <c r="B63" s="352"/>
      <c r="C63" s="320"/>
      <c r="D63" s="320"/>
      <c r="E63" s="320"/>
      <c r="F63" s="320"/>
      <c r="G63" s="320"/>
      <c r="H63" s="569" t="s">
        <v>197</v>
      </c>
      <c r="I63" s="573"/>
      <c r="J63" s="573"/>
      <c r="K63" s="570"/>
      <c r="L63" s="362"/>
      <c r="M63" s="308"/>
      <c r="N63" s="425"/>
    </row>
    <row r="64" spans="1:15" ht="23.25" x14ac:dyDescent="0.35">
      <c r="A64" s="309"/>
      <c r="B64" s="352"/>
      <c r="C64" s="320"/>
      <c r="D64" s="320"/>
      <c r="E64" s="320"/>
      <c r="F64" s="320"/>
      <c r="G64" s="320"/>
      <c r="H64" s="569" t="s">
        <v>120</v>
      </c>
      <c r="I64" s="573"/>
      <c r="J64" s="573"/>
      <c r="K64" s="570"/>
      <c r="L64" s="362"/>
      <c r="M64" s="308"/>
      <c r="N64" s="425"/>
    </row>
    <row r="65" spans="1:14" ht="23.25" x14ac:dyDescent="0.35">
      <c r="A65" s="309"/>
      <c r="B65" s="352"/>
      <c r="C65" s="320"/>
      <c r="D65" s="320"/>
      <c r="E65" s="320"/>
      <c r="F65" s="320"/>
      <c r="G65" s="320"/>
      <c r="H65" s="569" t="s">
        <v>194</v>
      </c>
      <c r="I65" s="573"/>
      <c r="J65" s="573"/>
      <c r="K65" s="570"/>
      <c r="L65" s="362"/>
      <c r="M65" s="308"/>
      <c r="N65" s="425"/>
    </row>
    <row r="66" spans="1:14" ht="23.25" x14ac:dyDescent="0.35">
      <c r="A66" s="309"/>
      <c r="B66" s="352"/>
      <c r="C66" s="320"/>
      <c r="D66" s="320"/>
      <c r="E66" s="320"/>
      <c r="F66" s="320"/>
      <c r="G66" s="344"/>
      <c r="H66" s="569" t="s">
        <v>195</v>
      </c>
      <c r="I66" s="345"/>
      <c r="J66" s="408">
        <v>100</v>
      </c>
      <c r="K66" s="413" t="s">
        <v>51</v>
      </c>
      <c r="L66" s="412"/>
      <c r="M66" s="308"/>
      <c r="N66" s="425"/>
    </row>
    <row r="67" spans="1:14" ht="23.25" x14ac:dyDescent="0.35">
      <c r="A67" s="358"/>
      <c r="B67" s="414"/>
      <c r="C67" s="411"/>
      <c r="D67" s="411"/>
      <c r="E67" s="411"/>
      <c r="F67" s="411"/>
      <c r="G67" s="329"/>
      <c r="H67" s="576"/>
      <c r="I67" s="582"/>
      <c r="J67" s="583"/>
      <c r="K67" s="584"/>
      <c r="L67" s="416"/>
      <c r="M67" s="308"/>
      <c r="N67" s="425"/>
    </row>
    <row r="68" spans="1:14" ht="23.25" x14ac:dyDescent="0.35">
      <c r="A68" s="351" t="s">
        <v>324</v>
      </c>
      <c r="B68" s="585">
        <v>4</v>
      </c>
      <c r="C68" s="586">
        <v>0.4</v>
      </c>
      <c r="D68" s="586">
        <v>0.45</v>
      </c>
      <c r="E68" s="586">
        <v>0.5</v>
      </c>
      <c r="F68" s="586">
        <v>0.55000000000000004</v>
      </c>
      <c r="G68" s="586">
        <v>0.6</v>
      </c>
      <c r="H68" s="569" t="s">
        <v>325</v>
      </c>
      <c r="I68" s="345"/>
      <c r="J68" s="587"/>
      <c r="K68" s="588"/>
      <c r="L68" s="412">
        <v>4</v>
      </c>
      <c r="M68" s="305">
        <f>IF(L68=0,"-",ROUND(L68*B68/B$75,4))</f>
        <v>0.26669999999999999</v>
      </c>
      <c r="N68" s="425" t="s">
        <v>213</v>
      </c>
    </row>
    <row r="69" spans="1:14" ht="23.25" x14ac:dyDescent="0.35">
      <c r="A69" s="351" t="s">
        <v>326</v>
      </c>
      <c r="B69" s="406"/>
      <c r="C69" s="311"/>
      <c r="D69" s="311"/>
      <c r="E69" s="311"/>
      <c r="F69" s="311"/>
      <c r="G69" s="333"/>
      <c r="H69" s="569" t="s">
        <v>327</v>
      </c>
      <c r="I69" s="345"/>
      <c r="J69" s="587"/>
      <c r="K69" s="588"/>
      <c r="L69" s="412"/>
      <c r="M69" s="308"/>
    </row>
    <row r="70" spans="1:14" ht="23.25" x14ac:dyDescent="0.35">
      <c r="A70" s="351"/>
      <c r="B70" s="406"/>
      <c r="C70" s="311"/>
      <c r="D70" s="311"/>
      <c r="E70" s="311"/>
      <c r="F70" s="311"/>
      <c r="G70" s="333"/>
      <c r="H70" s="569"/>
      <c r="I70" s="345"/>
      <c r="J70" s="587"/>
      <c r="K70" s="588"/>
      <c r="L70" s="412"/>
      <c r="M70" s="308"/>
    </row>
    <row r="71" spans="1:14" ht="23.25" x14ac:dyDescent="0.35">
      <c r="A71" s="351"/>
      <c r="B71" s="406"/>
      <c r="C71" s="311"/>
      <c r="D71" s="311"/>
      <c r="E71" s="311"/>
      <c r="F71" s="311"/>
      <c r="G71" s="333"/>
      <c r="H71" s="569"/>
      <c r="I71" s="345" t="s">
        <v>174</v>
      </c>
      <c r="J71" s="589">
        <v>55</v>
      </c>
      <c r="K71" s="413" t="s">
        <v>51</v>
      </c>
      <c r="L71" s="412"/>
      <c r="M71" s="308"/>
    </row>
    <row r="72" spans="1:14" ht="23.25" x14ac:dyDescent="0.35">
      <c r="A72" s="351"/>
      <c r="B72" s="406"/>
      <c r="C72" s="311"/>
      <c r="D72" s="311"/>
      <c r="E72" s="311"/>
      <c r="F72" s="311"/>
      <c r="G72" s="333"/>
      <c r="H72" s="569"/>
      <c r="I72" s="345"/>
      <c r="J72" s="587"/>
      <c r="K72" s="588"/>
      <c r="L72" s="412"/>
      <c r="M72" s="308"/>
    </row>
    <row r="73" spans="1:14" ht="23.25" x14ac:dyDescent="0.35">
      <c r="A73" s="351"/>
      <c r="B73" s="406"/>
      <c r="C73" s="311"/>
      <c r="D73" s="311"/>
      <c r="E73" s="311"/>
      <c r="F73" s="311"/>
      <c r="G73" s="333"/>
      <c r="H73" s="569"/>
      <c r="I73" s="345"/>
      <c r="J73" s="587"/>
      <c r="K73" s="588"/>
      <c r="L73" s="412"/>
      <c r="M73" s="308"/>
    </row>
    <row r="74" spans="1:14" ht="23.25" x14ac:dyDescent="0.35">
      <c r="A74" s="358"/>
      <c r="B74" s="414"/>
      <c r="C74" s="411"/>
      <c r="D74" s="411"/>
      <c r="E74" s="411"/>
      <c r="F74" s="411"/>
      <c r="G74" s="415"/>
      <c r="H74" s="576"/>
      <c r="I74" s="345"/>
      <c r="J74" s="587"/>
      <c r="K74" s="584"/>
      <c r="L74" s="412"/>
      <c r="M74" s="308"/>
    </row>
    <row r="75" spans="1:14" ht="26.25" x14ac:dyDescent="0.4">
      <c r="A75" s="363"/>
      <c r="B75" s="409">
        <f>ROUND(SUM(B6:B74),1)</f>
        <v>60</v>
      </c>
      <c r="C75" s="364"/>
      <c r="D75" s="364"/>
      <c r="E75" s="364"/>
      <c r="F75" s="364"/>
      <c r="G75" s="365"/>
      <c r="H75" s="364"/>
      <c r="I75" s="364"/>
      <c r="J75" s="364"/>
      <c r="K75" s="364"/>
      <c r="L75" s="366" t="s">
        <v>139</v>
      </c>
      <c r="M75" s="410">
        <f>(SUM(M6:M74))</f>
        <v>3.0539999999999998</v>
      </c>
    </row>
  </sheetData>
  <mergeCells count="17">
    <mergeCell ref="H14:K14"/>
    <mergeCell ref="H15:K15"/>
    <mergeCell ref="H20:K20"/>
    <mergeCell ref="H47:K47"/>
    <mergeCell ref="H53:K53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2" manualBreakCount="2">
    <brk id="25" max="12" man="1"/>
    <brk id="47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6.5703125" style="292" bestFit="1" customWidth="1"/>
    <col min="18" max="18" width="14.140625" style="292" bestFit="1" customWidth="1"/>
    <col min="19" max="20" width="9.140625" style="292"/>
    <col min="21" max="21" width="13.85546875" style="292" bestFit="1" customWidth="1"/>
    <col min="22" max="22" width="9.140625" style="292"/>
    <col min="23" max="23" width="15" style="292" bestFit="1" customWidth="1"/>
    <col min="24" max="27" width="9.140625" style="292"/>
    <col min="28" max="28" width="15" style="292" bestFit="1" customWidth="1"/>
    <col min="29" max="29" width="13.85546875" style="292" bestFit="1" customWidth="1"/>
    <col min="30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403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v>4.8018999999999998</v>
      </c>
      <c r="M6" s="305">
        <f>IF(L6=0,"-",ROUND(L6*B6/B$90,4))</f>
        <v>0.25269999999999998</v>
      </c>
      <c r="N6" s="425" t="s">
        <v>213</v>
      </c>
      <c r="Q6" s="545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/>
      <c r="Q7" s="545"/>
      <c r="R7" s="545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  <c r="Q12" s="568" t="s">
        <v>320</v>
      </c>
      <c r="R12" s="568" t="s">
        <v>238</v>
      </c>
      <c r="S12" s="481" t="s">
        <v>489</v>
      </c>
      <c r="T12" s="602"/>
      <c r="U12" s="603"/>
      <c r="V12" s="442"/>
      <c r="W12" s="441"/>
      <c r="X12" s="306"/>
      <c r="Y12" s="441"/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2+O17</f>
        <v>3.2535410723761244</v>
      </c>
      <c r="M13" s="305">
        <f>IF(L13=0,"-",ROUND(L13*B13/B$90,4))</f>
        <v>0.51370000000000005</v>
      </c>
      <c r="N13" s="425" t="s">
        <v>213</v>
      </c>
      <c r="O13" s="450" t="s">
        <v>374</v>
      </c>
      <c r="P13" s="451"/>
      <c r="Q13" s="621">
        <f>สพญ.!R24</f>
        <v>744102779</v>
      </c>
      <c r="R13" s="742">
        <f>สพญ.!S24</f>
        <v>91.531999999999996</v>
      </c>
      <c r="S13" s="719"/>
      <c r="T13" s="602"/>
      <c r="U13" s="603"/>
      <c r="V13" s="442"/>
      <c r="W13" s="511"/>
      <c r="X13" s="306"/>
      <c r="Y13" s="441"/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O14" s="450" t="s">
        <v>375</v>
      </c>
      <c r="P14" s="451"/>
      <c r="Q14" s="621">
        <f>สพญ.!R25</f>
        <v>145982535</v>
      </c>
      <c r="R14" s="742">
        <f>สพญ.!S25</f>
        <v>97.65</v>
      </c>
      <c r="T14" s="602"/>
      <c r="U14" s="603"/>
      <c r="V14" s="442"/>
      <c r="W14" s="511"/>
      <c r="X14" s="306"/>
      <c r="Y14" s="441"/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O15" s="450" t="s">
        <v>376</v>
      </c>
      <c r="P15" s="451"/>
      <c r="Q15" s="621">
        <f>สพญ.!R26</f>
        <v>187050000</v>
      </c>
      <c r="R15" s="634">
        <f>สพญ.!S26</f>
        <v>14.55</v>
      </c>
      <c r="S15" s="719" t="s">
        <v>469</v>
      </c>
      <c r="W15" s="511"/>
      <c r="X15" s="306"/>
      <c r="Y15" s="441"/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292">
        <v>10</v>
      </c>
      <c r="O16" s="431">
        <v>1</v>
      </c>
      <c r="P16" s="292" t="s">
        <v>344</v>
      </c>
      <c r="Q16" s="545">
        <f>Q14+Q13</f>
        <v>890085314</v>
      </c>
      <c r="R16" s="545"/>
      <c r="W16" s="441"/>
      <c r="X16" s="441"/>
      <c r="Y16" s="441"/>
    </row>
    <row r="17" spans="1:30" ht="23.25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N17" s="545">
        <f>J18-80</f>
        <v>12.535410723761245</v>
      </c>
      <c r="O17" s="650">
        <f>O16*N17/N16</f>
        <v>1.2535410723761244</v>
      </c>
      <c r="Q17" s="479">
        <f>((R14*Q14)+(Q13*R13))/Q16</f>
        <v>92.535410723761245</v>
      </c>
      <c r="R17" s="292" t="s">
        <v>51</v>
      </c>
      <c r="W17" s="441"/>
      <c r="X17" s="441"/>
      <c r="Y17" s="441"/>
    </row>
    <row r="18" spans="1:30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Q17</f>
        <v>92.535410723761245</v>
      </c>
      <c r="K18" s="570" t="s">
        <v>51</v>
      </c>
      <c r="L18" s="307"/>
      <c r="M18" s="308"/>
      <c r="W18" s="441"/>
      <c r="X18" s="441"/>
      <c r="Y18" s="441"/>
    </row>
    <row r="19" spans="1:30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68" t="s">
        <v>320</v>
      </c>
      <c r="R19" s="568" t="s">
        <v>330</v>
      </c>
      <c r="S19" s="568" t="s">
        <v>238</v>
      </c>
      <c r="U19" s="441"/>
      <c r="V19" s="441"/>
      <c r="W19" s="441"/>
      <c r="X19" s="441"/>
      <c r="Y19" s="441"/>
      <c r="Z19" s="441"/>
      <c r="AA19" s="511"/>
      <c r="AB19" s="442"/>
      <c r="AC19" s="612"/>
      <c r="AD19" s="306"/>
    </row>
    <row r="20" spans="1:30" ht="23.25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895" t="s">
        <v>176</v>
      </c>
      <c r="I20" s="895"/>
      <c r="J20" s="895"/>
      <c r="K20" s="896"/>
      <c r="L20" s="304">
        <f>4+O25</f>
        <v>4.8647393224127811</v>
      </c>
      <c r="M20" s="305">
        <f>IF(L20=0,"-",ROUND(L20*B20/B$90,4))</f>
        <v>0.7681</v>
      </c>
      <c r="N20" s="437">
        <v>6</v>
      </c>
      <c r="O20" s="438" t="s">
        <v>230</v>
      </c>
      <c r="P20" s="438"/>
      <c r="Q20" s="498">
        <f>สพญ.!V38</f>
        <v>65387855</v>
      </c>
      <c r="R20" s="749">
        <f>สพญ.!W38</f>
        <v>60891809.75</v>
      </c>
      <c r="S20" s="499">
        <f>สพญ.!X38</f>
        <v>100</v>
      </c>
      <c r="T20" s="292" t="s">
        <v>224</v>
      </c>
      <c r="U20" s="441"/>
      <c r="V20" s="441"/>
      <c r="W20" s="441"/>
      <c r="X20" s="441"/>
      <c r="Y20" s="441"/>
      <c r="Z20" s="441"/>
      <c r="AA20" s="441"/>
      <c r="AB20" s="442"/>
      <c r="AC20" s="612"/>
      <c r="AD20" s="306"/>
    </row>
    <row r="21" spans="1:30" ht="23.25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N21" s="440">
        <v>7</v>
      </c>
      <c r="O21" s="441" t="s">
        <v>231</v>
      </c>
      <c r="P21" s="441"/>
      <c r="Q21" s="505">
        <f>สพญ.!V39</f>
        <v>80594680</v>
      </c>
      <c r="R21" s="750">
        <f>สพญ.!W39</f>
        <v>76267984.840000004</v>
      </c>
      <c r="S21" s="320">
        <f>สพญ.!X39</f>
        <v>97.55</v>
      </c>
      <c r="U21" s="441"/>
      <c r="V21" s="441"/>
      <c r="W21" s="441"/>
      <c r="X21" s="441"/>
      <c r="Y21" s="441"/>
      <c r="Z21" s="441"/>
      <c r="AA21" s="441"/>
      <c r="AB21" s="442"/>
      <c r="AC21" s="612"/>
      <c r="AD21" s="442"/>
    </row>
    <row r="22" spans="1:30" ht="23.25" x14ac:dyDescent="0.35">
      <c r="A22" s="309"/>
      <c r="B22" s="352"/>
      <c r="C22" s="320"/>
      <c r="D22" s="320"/>
      <c r="E22" s="320"/>
      <c r="F22" s="320"/>
      <c r="G22" s="320"/>
      <c r="H22" s="880" t="s">
        <v>83</v>
      </c>
      <c r="I22" s="887"/>
      <c r="J22" s="887"/>
      <c r="K22" s="881"/>
      <c r="L22" s="307"/>
      <c r="M22" s="308"/>
      <c r="N22" s="443">
        <v>8</v>
      </c>
      <c r="O22" s="444" t="s">
        <v>209</v>
      </c>
      <c r="P22" s="444"/>
      <c r="Q22" s="507">
        <f>สพญ.!V40</f>
        <v>187050000</v>
      </c>
      <c r="R22" s="751">
        <f>สพญ.!W40</f>
        <v>91430000</v>
      </c>
      <c r="S22" s="507">
        <v>14.55</v>
      </c>
      <c r="T22" s="719" t="s">
        <v>469</v>
      </c>
      <c r="W22" s="441"/>
      <c r="X22" s="441"/>
      <c r="Y22" s="441"/>
    </row>
    <row r="23" spans="1:30" ht="23.25" x14ac:dyDescent="0.35">
      <c r="A23" s="309"/>
      <c r="B23" s="352"/>
      <c r="C23" s="320"/>
      <c r="D23" s="320"/>
      <c r="E23" s="320"/>
      <c r="F23" s="320"/>
      <c r="G23" s="320"/>
      <c r="H23" s="569" t="s">
        <v>172</v>
      </c>
      <c r="I23" s="573"/>
      <c r="J23" s="573"/>
      <c r="K23" s="570"/>
      <c r="L23" s="307"/>
      <c r="M23" s="308"/>
      <c r="N23" s="425" t="s">
        <v>213</v>
      </c>
      <c r="P23" s="292" t="s">
        <v>344</v>
      </c>
      <c r="Q23" s="545">
        <f>SUM(Q20:Q21)</f>
        <v>145982535</v>
      </c>
      <c r="R23" s="545"/>
      <c r="W23" s="441"/>
      <c r="X23" s="441"/>
      <c r="Y23" s="441"/>
    </row>
    <row r="24" spans="1:30" ht="23.25" x14ac:dyDescent="0.3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0"/>
      <c r="L24" s="307"/>
      <c r="M24" s="308"/>
      <c r="N24" s="292">
        <v>10</v>
      </c>
      <c r="O24" s="431">
        <v>1</v>
      </c>
      <c r="Q24" s="436">
        <f>((Q20*S20)+(Q21*S21))/Q23</f>
        <v>98.647393224127811</v>
      </c>
      <c r="R24" s="292" t="s">
        <v>51</v>
      </c>
    </row>
    <row r="25" spans="1:30" ht="23.25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Q24</f>
        <v>98.647393224127811</v>
      </c>
      <c r="K25" s="570" t="s">
        <v>51</v>
      </c>
      <c r="L25" s="307"/>
      <c r="M25" s="308"/>
      <c r="N25" s="545">
        <f>J25-90</f>
        <v>8.6473932241278106</v>
      </c>
      <c r="O25" s="650">
        <f>O24*N25/N24</f>
        <v>0.86473932241278106</v>
      </c>
    </row>
    <row r="26" spans="1:30" ht="23.25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Q26" s="568" t="s">
        <v>320</v>
      </c>
      <c r="R26" s="568" t="s">
        <v>330</v>
      </c>
      <c r="S26" s="568" t="s">
        <v>51</v>
      </c>
    </row>
    <row r="27" spans="1:30" ht="25.5" x14ac:dyDescent="0.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894" t="s">
        <v>57</v>
      </c>
      <c r="I27" s="895"/>
      <c r="J27" s="895"/>
      <c r="K27" s="896"/>
      <c r="L27" s="304">
        <f>1+O29</f>
        <v>2.7752117333333333</v>
      </c>
      <c r="M27" s="305">
        <f>IF(L27=0,"-",ROUND(L27*B27/B$90,4))</f>
        <v>0.14610000000000001</v>
      </c>
      <c r="O27" s="292" t="s">
        <v>377</v>
      </c>
      <c r="Q27" s="460">
        <f>สพญ.!AA60</f>
        <v>600000</v>
      </c>
      <c r="R27" s="654">
        <f>สพญ.!AB60</f>
        <v>566281.76</v>
      </c>
      <c r="S27" s="432">
        <f t="shared" ref="S27" si="0">R27*100/Q27</f>
        <v>94.380293333333327</v>
      </c>
      <c r="T27" s="617" t="s">
        <v>213</v>
      </c>
      <c r="U27" s="617"/>
      <c r="V27" s="441"/>
    </row>
    <row r="28" spans="1:30" ht="23.25" x14ac:dyDescent="0.3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69" t="s">
        <v>58</v>
      </c>
      <c r="I28" s="573"/>
      <c r="J28" s="573"/>
      <c r="K28" s="570"/>
      <c r="L28" s="307"/>
      <c r="M28" s="308"/>
      <c r="N28" s="292">
        <v>25</v>
      </c>
      <c r="O28" s="431">
        <v>1</v>
      </c>
      <c r="Q28" s="648"/>
      <c r="R28" s="648"/>
      <c r="S28" s="488">
        <f>S27</f>
        <v>94.380293333333327</v>
      </c>
      <c r="T28" s="292" t="s">
        <v>51</v>
      </c>
      <c r="U28" s="441"/>
      <c r="V28" s="441"/>
    </row>
    <row r="29" spans="1:30" ht="23.25" x14ac:dyDescent="0.3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69" t="s">
        <v>147</v>
      </c>
      <c r="I29" s="573"/>
      <c r="J29" s="573"/>
      <c r="K29" s="570"/>
      <c r="L29" s="307"/>
      <c r="M29" s="308"/>
      <c r="N29" s="542">
        <f>J31-50</f>
        <v>44.380293333333327</v>
      </c>
      <c r="O29" s="431">
        <f>O28*N29/N28</f>
        <v>1.775211733333333</v>
      </c>
    </row>
    <row r="30" spans="1:30" ht="23.25" x14ac:dyDescent="0.35">
      <c r="A30" s="309"/>
      <c r="B30" s="352"/>
      <c r="C30" s="320"/>
      <c r="D30" s="320"/>
      <c r="E30" s="320"/>
      <c r="F30" s="320"/>
      <c r="G30" s="320"/>
      <c r="H30" s="569" t="s">
        <v>180</v>
      </c>
      <c r="I30" s="573"/>
      <c r="J30" s="573"/>
      <c r="K30" s="570"/>
      <c r="L30" s="307"/>
      <c r="M30" s="308"/>
      <c r="Q30" s="545"/>
      <c r="R30" s="545"/>
    </row>
    <row r="31" spans="1:30" ht="23.25" x14ac:dyDescent="0.35">
      <c r="A31" s="309"/>
      <c r="B31" s="352"/>
      <c r="C31" s="320"/>
      <c r="D31" s="320"/>
      <c r="E31" s="320"/>
      <c r="F31" s="320"/>
      <c r="G31" s="311"/>
      <c r="H31" s="569"/>
      <c r="I31" s="323" t="s">
        <v>56</v>
      </c>
      <c r="J31" s="324">
        <f>S28</f>
        <v>94.380293333333327</v>
      </c>
      <c r="K31" s="570" t="s">
        <v>51</v>
      </c>
      <c r="L31" s="307"/>
      <c r="M31" s="308"/>
    </row>
    <row r="32" spans="1:30" ht="23.25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  <c r="P32" s="935" t="s">
        <v>320</v>
      </c>
      <c r="Q32" s="936"/>
    </row>
    <row r="33" spans="1:18" ht="23.25" x14ac:dyDescent="0.35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74" t="s">
        <v>148</v>
      </c>
      <c r="I33" s="571"/>
      <c r="J33" s="571"/>
      <c r="K33" s="572"/>
      <c r="L33" s="304">
        <f>4.9999</f>
        <v>4.9999000000000002</v>
      </c>
      <c r="M33" s="305">
        <f>IF(L33=0,"-",ROUND(L33*B33/B$90,4))</f>
        <v>0.26319999999999999</v>
      </c>
      <c r="N33" s="425" t="s">
        <v>213</v>
      </c>
      <c r="O33" s="450" t="s">
        <v>214</v>
      </c>
      <c r="P33" s="929">
        <v>9901225</v>
      </c>
      <c r="Q33" s="929"/>
      <c r="R33" s="481" t="s">
        <v>213</v>
      </c>
    </row>
    <row r="34" spans="1:18" ht="23.25" x14ac:dyDescent="0.35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  <c r="N34" s="448" t="s">
        <v>200</v>
      </c>
      <c r="O34" s="443" t="s">
        <v>215</v>
      </c>
      <c r="P34" s="930">
        <v>9901224</v>
      </c>
      <c r="Q34" s="930"/>
    </row>
    <row r="35" spans="1:18" ht="23.25" x14ac:dyDescent="0.35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  <c r="Q35" s="635">
        <f>P34*100/P33</f>
        <v>99.999989900239612</v>
      </c>
      <c r="R35" s="292" t="s">
        <v>51</v>
      </c>
    </row>
    <row r="36" spans="1:18" ht="23.25" x14ac:dyDescent="0.35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</row>
    <row r="37" spans="1:18" ht="23.25" x14ac:dyDescent="0.35">
      <c r="A37" s="309"/>
      <c r="B37" s="352"/>
      <c r="C37" s="320"/>
      <c r="D37" s="320"/>
      <c r="E37" s="320"/>
      <c r="F37" s="320"/>
      <c r="G37" s="311"/>
      <c r="H37" s="569"/>
      <c r="I37" s="323" t="s">
        <v>56</v>
      </c>
      <c r="J37" s="649">
        <f>Q35</f>
        <v>99.999989900239612</v>
      </c>
      <c r="K37" s="570" t="s">
        <v>51</v>
      </c>
      <c r="L37" s="307"/>
      <c r="M37" s="308"/>
    </row>
    <row r="38" spans="1:18" ht="23.25" x14ac:dyDescent="0.35">
      <c r="A38" s="325"/>
      <c r="B38" s="359"/>
      <c r="C38" s="310"/>
      <c r="D38" s="310"/>
      <c r="E38" s="310"/>
      <c r="F38" s="310"/>
      <c r="G38" s="310"/>
      <c r="H38" s="329"/>
      <c r="I38" s="423"/>
      <c r="J38" s="423"/>
      <c r="K38" s="424"/>
      <c r="L38" s="326"/>
      <c r="M38" s="299"/>
    </row>
    <row r="39" spans="1:18" ht="23.25" x14ac:dyDescent="0.35">
      <c r="A39" s="302" t="s">
        <v>183</v>
      </c>
      <c r="B39" s="403">
        <v>4</v>
      </c>
      <c r="C39" s="332">
        <v>0.8</v>
      </c>
      <c r="D39" s="332">
        <v>0.85</v>
      </c>
      <c r="E39" s="332">
        <v>0.9</v>
      </c>
      <c r="F39" s="332">
        <v>0.95</v>
      </c>
      <c r="G39" s="332">
        <v>1</v>
      </c>
      <c r="H39" s="386" t="s">
        <v>150</v>
      </c>
      <c r="I39" s="387"/>
      <c r="J39" s="387"/>
      <c r="K39" s="388"/>
      <c r="L39" s="304">
        <v>5</v>
      </c>
      <c r="M39" s="305">
        <f>IF(L39=0,"-",ROUND(L39*B39/B$90,4))</f>
        <v>0.26319999999999999</v>
      </c>
    </row>
    <row r="40" spans="1:18" ht="24" customHeight="1" x14ac:dyDescent="0.35">
      <c r="A40" s="309" t="s">
        <v>28</v>
      </c>
      <c r="B40" s="352"/>
      <c r="C40" s="320"/>
      <c r="D40" s="320"/>
      <c r="E40" s="320"/>
      <c r="F40" s="320"/>
      <c r="G40" s="320"/>
      <c r="H40" s="569" t="s">
        <v>154</v>
      </c>
      <c r="I40" s="573"/>
      <c r="J40" s="573"/>
      <c r="K40" s="570"/>
      <c r="L40" s="307"/>
      <c r="M40" s="308"/>
    </row>
    <row r="41" spans="1:18" ht="23.25" x14ac:dyDescent="0.35">
      <c r="A41" s="309" t="s">
        <v>60</v>
      </c>
      <c r="B41" s="352"/>
      <c r="C41" s="320"/>
      <c r="D41" s="320"/>
      <c r="E41" s="320"/>
      <c r="F41" s="320"/>
      <c r="G41" s="320"/>
      <c r="H41" s="569" t="s">
        <v>64</v>
      </c>
      <c r="I41" s="573"/>
      <c r="J41" s="573"/>
      <c r="K41" s="570"/>
      <c r="L41" s="307"/>
      <c r="M41" s="308"/>
    </row>
    <row r="42" spans="1:18" ht="23.25" x14ac:dyDescent="0.35">
      <c r="A42" s="309"/>
      <c r="B42" s="352"/>
      <c r="C42" s="320"/>
      <c r="D42" s="320"/>
      <c r="E42" s="320"/>
      <c r="F42" s="320"/>
      <c r="G42" s="320"/>
      <c r="H42" s="380" t="s">
        <v>180</v>
      </c>
      <c r="I42" s="323"/>
      <c r="J42" s="322"/>
      <c r="K42" s="382"/>
      <c r="L42" s="307"/>
      <c r="M42" s="308"/>
    </row>
    <row r="43" spans="1:18" ht="23.25" x14ac:dyDescent="0.35">
      <c r="A43" s="309"/>
      <c r="B43" s="352"/>
      <c r="C43" s="320"/>
      <c r="D43" s="320"/>
      <c r="E43" s="320"/>
      <c r="F43" s="320"/>
      <c r="G43" s="320"/>
      <c r="H43" s="380"/>
      <c r="I43" s="323" t="s">
        <v>66</v>
      </c>
      <c r="J43" s="334">
        <v>4</v>
      </c>
      <c r="K43" s="382" t="s">
        <v>61</v>
      </c>
      <c r="L43" s="307"/>
      <c r="M43" s="308"/>
    </row>
    <row r="44" spans="1:18" ht="23.25" x14ac:dyDescent="0.35">
      <c r="A44" s="309"/>
      <c r="B44" s="352"/>
      <c r="C44" s="320"/>
      <c r="D44" s="320"/>
      <c r="E44" s="320"/>
      <c r="F44" s="320"/>
      <c r="G44" s="320"/>
      <c r="H44" s="380"/>
      <c r="I44" s="323" t="s">
        <v>67</v>
      </c>
      <c r="J44" s="334">
        <v>4</v>
      </c>
      <c r="K44" s="382" t="s">
        <v>61</v>
      </c>
      <c r="L44" s="307"/>
      <c r="M44" s="308"/>
    </row>
    <row r="45" spans="1:18" ht="23.25" x14ac:dyDescent="0.35">
      <c r="A45" s="309"/>
      <c r="B45" s="352"/>
      <c r="C45" s="320"/>
      <c r="D45" s="320"/>
      <c r="E45" s="320"/>
      <c r="F45" s="320"/>
      <c r="G45" s="320"/>
      <c r="H45" s="569"/>
      <c r="I45" s="323" t="s">
        <v>81</v>
      </c>
      <c r="J45" s="334">
        <f>J44*100/J43</f>
        <v>100</v>
      </c>
      <c r="K45" s="570" t="s">
        <v>51</v>
      </c>
      <c r="L45" s="307"/>
      <c r="M45" s="308"/>
    </row>
    <row r="46" spans="1:18" ht="23.25" x14ac:dyDescent="0.35">
      <c r="A46" s="325"/>
      <c r="B46" s="359"/>
      <c r="C46" s="310"/>
      <c r="D46" s="310"/>
      <c r="E46" s="310"/>
      <c r="F46" s="310"/>
      <c r="G46" s="310"/>
      <c r="H46" s="565"/>
      <c r="I46" s="423"/>
      <c r="J46" s="423"/>
      <c r="K46" s="424"/>
      <c r="L46" s="326"/>
      <c r="M46" s="299"/>
    </row>
    <row r="47" spans="1:18" ht="23.25" x14ac:dyDescent="0.35">
      <c r="A47" s="302" t="s">
        <v>184</v>
      </c>
      <c r="B47" s="403">
        <v>4</v>
      </c>
      <c r="C47" s="332">
        <v>0.5</v>
      </c>
      <c r="D47" s="332">
        <v>0.75</v>
      </c>
      <c r="E47" s="332">
        <v>1</v>
      </c>
      <c r="F47" s="332">
        <v>1</v>
      </c>
      <c r="G47" s="332">
        <v>1</v>
      </c>
      <c r="H47" s="574" t="s">
        <v>152</v>
      </c>
      <c r="I47" s="571"/>
      <c r="J47" s="571"/>
      <c r="K47" s="572"/>
      <c r="L47" s="304">
        <v>5</v>
      </c>
      <c r="M47" s="305">
        <f>IF(L47=0,"-",ROUND(L47*B47/B$90,4))</f>
        <v>0.26319999999999999</v>
      </c>
    </row>
    <row r="48" spans="1:18" ht="23.25" x14ac:dyDescent="0.35">
      <c r="A48" s="309" t="s">
        <v>151</v>
      </c>
      <c r="B48" s="406"/>
      <c r="C48" s="335"/>
      <c r="D48" s="335"/>
      <c r="E48" s="335"/>
      <c r="F48" s="335" t="s">
        <v>70</v>
      </c>
      <c r="G48" s="335" t="s">
        <v>70</v>
      </c>
      <c r="H48" s="573" t="s">
        <v>153</v>
      </c>
      <c r="I48" s="573"/>
      <c r="J48" s="573"/>
      <c r="K48" s="570"/>
      <c r="L48" s="307"/>
      <c r="M48" s="308"/>
    </row>
    <row r="49" spans="1:15" ht="23.25" x14ac:dyDescent="0.35">
      <c r="A49" s="309"/>
      <c r="B49" s="406"/>
      <c r="C49" s="335"/>
      <c r="D49" s="335"/>
      <c r="E49" s="335"/>
      <c r="F49" s="335" t="s">
        <v>137</v>
      </c>
      <c r="G49" s="335" t="s">
        <v>138</v>
      </c>
      <c r="H49" s="573" t="s">
        <v>180</v>
      </c>
      <c r="I49" s="573"/>
      <c r="J49" s="573"/>
      <c r="K49" s="570"/>
      <c r="L49" s="307"/>
      <c r="M49" s="308"/>
    </row>
    <row r="50" spans="1:15" ht="23.25" x14ac:dyDescent="0.35">
      <c r="A50" s="309"/>
      <c r="B50" s="406"/>
      <c r="C50" s="336"/>
      <c r="D50" s="336"/>
      <c r="E50" s="336"/>
      <c r="F50" s="336"/>
      <c r="G50" s="390"/>
      <c r="H50" s="569"/>
      <c r="I50" s="323" t="s">
        <v>56</v>
      </c>
      <c r="J50" s="324">
        <v>100</v>
      </c>
      <c r="K50" s="570" t="s">
        <v>51</v>
      </c>
      <c r="L50" s="307"/>
      <c r="M50" s="308"/>
    </row>
    <row r="51" spans="1:15" ht="23.25" x14ac:dyDescent="0.35">
      <c r="A51" s="325"/>
      <c r="B51" s="359"/>
      <c r="C51" s="310"/>
      <c r="D51" s="310"/>
      <c r="E51" s="310"/>
      <c r="F51" s="310"/>
      <c r="G51" s="310"/>
      <c r="H51" s="565"/>
      <c r="I51" s="566"/>
      <c r="J51" s="566"/>
      <c r="K51" s="567"/>
      <c r="L51" s="326"/>
      <c r="M51" s="299"/>
    </row>
    <row r="52" spans="1:15" ht="23.25" x14ac:dyDescent="0.35">
      <c r="A52" s="302" t="s">
        <v>185</v>
      </c>
      <c r="B52" s="403">
        <v>12</v>
      </c>
      <c r="C52" s="332">
        <v>0.78</v>
      </c>
      <c r="D52" s="332">
        <v>0.81</v>
      </c>
      <c r="E52" s="332">
        <v>0.84</v>
      </c>
      <c r="F52" s="332">
        <v>0.87</v>
      </c>
      <c r="G52" s="332">
        <v>0.9</v>
      </c>
      <c r="H52" s="574" t="s">
        <v>186</v>
      </c>
      <c r="I52" s="571"/>
      <c r="J52" s="571"/>
      <c r="K52" s="572"/>
      <c r="L52" s="304">
        <f>4+O53</f>
        <v>4.2057844341097264</v>
      </c>
      <c r="M52" s="305">
        <f>IF(L52=0,"-",ROUND(L52*B52/B$90,4))</f>
        <v>0.66410000000000002</v>
      </c>
      <c r="N52" s="292">
        <v>3</v>
      </c>
      <c r="O52" s="431">
        <v>1</v>
      </c>
    </row>
    <row r="53" spans="1:15" ht="23.25" x14ac:dyDescent="0.35">
      <c r="A53" s="309" t="s">
        <v>85</v>
      </c>
      <c r="B53" s="352"/>
      <c r="C53" s="320"/>
      <c r="D53" s="320"/>
      <c r="E53" s="320"/>
      <c r="F53" s="320"/>
      <c r="G53" s="320"/>
      <c r="H53" s="569" t="s">
        <v>196</v>
      </c>
      <c r="I53" s="573"/>
      <c r="J53" s="573"/>
      <c r="K53" s="570"/>
      <c r="L53" s="307"/>
      <c r="M53" s="308"/>
      <c r="N53" s="545">
        <f>J56-87</f>
        <v>0.61735330232917818</v>
      </c>
      <c r="O53" s="431">
        <f>O52*N53/N52</f>
        <v>0.20578443410972605</v>
      </c>
    </row>
    <row r="54" spans="1:15" ht="23.25" x14ac:dyDescent="0.35">
      <c r="A54" s="309"/>
      <c r="B54" s="352"/>
      <c r="C54" s="320"/>
      <c r="D54" s="320"/>
      <c r="E54" s="320"/>
      <c r="F54" s="320"/>
      <c r="G54" s="320"/>
      <c r="H54" s="327"/>
      <c r="I54" s="327" t="s">
        <v>87</v>
      </c>
      <c r="J54" s="429">
        <v>1034270000</v>
      </c>
      <c r="K54" s="570" t="s">
        <v>187</v>
      </c>
      <c r="L54" s="307"/>
      <c r="M54" s="308"/>
    </row>
    <row r="55" spans="1:15" ht="23.25" x14ac:dyDescent="0.35">
      <c r="A55" s="309"/>
      <c r="B55" s="352"/>
      <c r="C55" s="320"/>
      <c r="D55" s="320"/>
      <c r="E55" s="320"/>
      <c r="F55" s="320"/>
      <c r="G55" s="320"/>
      <c r="H55" s="327"/>
      <c r="I55" s="323" t="s">
        <v>188</v>
      </c>
      <c r="J55" s="430">
        <v>906200000</v>
      </c>
      <c r="K55" s="570" t="s">
        <v>187</v>
      </c>
      <c r="L55" s="307"/>
      <c r="M55" s="308"/>
    </row>
    <row r="56" spans="1:15" ht="23.25" x14ac:dyDescent="0.35">
      <c r="A56" s="309"/>
      <c r="B56" s="352"/>
      <c r="C56" s="320"/>
      <c r="D56" s="320"/>
      <c r="E56" s="320"/>
      <c r="F56" s="320"/>
      <c r="G56" s="320"/>
      <c r="H56" s="327"/>
      <c r="I56" s="323" t="s">
        <v>189</v>
      </c>
      <c r="J56" s="426">
        <f>J55*100/J54</f>
        <v>87.617353302329178</v>
      </c>
      <c r="K56" s="570" t="s">
        <v>51</v>
      </c>
      <c r="L56" s="307"/>
      <c r="M56" s="308"/>
    </row>
    <row r="57" spans="1:15" ht="23.25" x14ac:dyDescent="0.35">
      <c r="A57" s="325"/>
      <c r="B57" s="359"/>
      <c r="C57" s="310"/>
      <c r="D57" s="310"/>
      <c r="E57" s="310"/>
      <c r="F57" s="310"/>
      <c r="G57" s="310"/>
      <c r="H57" s="337"/>
      <c r="I57" s="423"/>
      <c r="J57" s="338"/>
      <c r="K57" s="424"/>
      <c r="L57" s="326"/>
      <c r="M57" s="299"/>
    </row>
    <row r="58" spans="1:15" ht="23.25" x14ac:dyDescent="0.35">
      <c r="A58" s="339" t="s">
        <v>190</v>
      </c>
      <c r="B58" s="407">
        <v>4</v>
      </c>
      <c r="C58" s="340">
        <v>0.65</v>
      </c>
      <c r="D58" s="340">
        <v>0.7</v>
      </c>
      <c r="E58" s="340">
        <v>0.75</v>
      </c>
      <c r="F58" s="340">
        <v>0.8</v>
      </c>
      <c r="G58" s="340">
        <v>0.85</v>
      </c>
      <c r="H58" s="574" t="s">
        <v>156</v>
      </c>
      <c r="I58" s="571"/>
      <c r="J58" s="571"/>
      <c r="K58" s="572"/>
      <c r="L58" s="304">
        <v>1</v>
      </c>
      <c r="M58" s="305">
        <f>IF(L58=0,"-",ROUND(L58*B58/B$90,4))</f>
        <v>5.2600000000000001E-2</v>
      </c>
    </row>
    <row r="59" spans="1:15" ht="23.25" x14ac:dyDescent="0.35">
      <c r="A59" s="309" t="s">
        <v>145</v>
      </c>
      <c r="B59" s="352"/>
      <c r="C59" s="320"/>
      <c r="D59" s="320"/>
      <c r="E59" s="320"/>
      <c r="F59" s="320"/>
      <c r="G59" s="320"/>
      <c r="H59" s="569" t="s">
        <v>104</v>
      </c>
      <c r="I59" s="573"/>
      <c r="J59" s="573"/>
      <c r="K59" s="570"/>
      <c r="L59" s="307"/>
      <c r="M59" s="308"/>
    </row>
    <row r="60" spans="1:15" ht="23.25" x14ac:dyDescent="0.35">
      <c r="A60" s="389" t="s">
        <v>155</v>
      </c>
      <c r="B60" s="352"/>
      <c r="C60" s="320"/>
      <c r="D60" s="320"/>
      <c r="E60" s="320"/>
      <c r="F60" s="320"/>
      <c r="G60" s="320"/>
      <c r="H60" s="569" t="s">
        <v>105</v>
      </c>
      <c r="I60" s="573"/>
      <c r="J60" s="573"/>
      <c r="K60" s="570"/>
      <c r="L60" s="307"/>
      <c r="M60" s="308"/>
    </row>
    <row r="61" spans="1:15" ht="23.25" x14ac:dyDescent="0.35">
      <c r="A61" s="309"/>
      <c r="B61" s="352"/>
      <c r="C61" s="320"/>
      <c r="D61" s="320"/>
      <c r="E61" s="320"/>
      <c r="F61" s="320"/>
      <c r="G61" s="320"/>
      <c r="H61" s="341"/>
      <c r="I61" s="342" t="s">
        <v>113</v>
      </c>
      <c r="J61" s="343" t="s">
        <v>11</v>
      </c>
      <c r="K61" s="570" t="s">
        <v>51</v>
      </c>
      <c r="L61" s="307"/>
      <c r="M61" s="308"/>
    </row>
    <row r="62" spans="1:15" ht="23.25" x14ac:dyDescent="0.35">
      <c r="A62" s="325"/>
      <c r="B62" s="359"/>
      <c r="C62" s="310"/>
      <c r="D62" s="310"/>
      <c r="E62" s="310"/>
      <c r="F62" s="310"/>
      <c r="G62" s="415"/>
      <c r="H62" s="891" t="s">
        <v>211</v>
      </c>
      <c r="I62" s="892"/>
      <c r="J62" s="892"/>
      <c r="K62" s="893"/>
      <c r="L62" s="326"/>
      <c r="M62" s="299"/>
    </row>
    <row r="63" spans="1:15" ht="23.25" x14ac:dyDescent="0.35">
      <c r="A63" s="302" t="s">
        <v>106</v>
      </c>
      <c r="B63" s="407">
        <v>4</v>
      </c>
      <c r="C63" s="346" t="s">
        <v>29</v>
      </c>
      <c r="D63" s="346" t="s">
        <v>30</v>
      </c>
      <c r="E63" s="346" t="s">
        <v>31</v>
      </c>
      <c r="F63" s="346" t="s">
        <v>32</v>
      </c>
      <c r="G63" s="346" t="s">
        <v>33</v>
      </c>
      <c r="H63" s="574" t="s">
        <v>108</v>
      </c>
      <c r="I63" s="571"/>
      <c r="J63" s="571"/>
      <c r="K63" s="572"/>
      <c r="L63" s="304">
        <v>2</v>
      </c>
      <c r="M63" s="305">
        <f>IF(L63=0,"-",ROUND(L63*B63/B$90,4))</f>
        <v>0.1053</v>
      </c>
    </row>
    <row r="64" spans="1:15" ht="23.25" x14ac:dyDescent="0.35">
      <c r="A64" s="309" t="s">
        <v>107</v>
      </c>
      <c r="B64" s="352"/>
      <c r="C64" s="348">
        <v>1.5</v>
      </c>
      <c r="D64" s="348">
        <v>2</v>
      </c>
      <c r="E64" s="348">
        <v>2.5</v>
      </c>
      <c r="F64" s="348">
        <v>3</v>
      </c>
      <c r="G64" s="348">
        <v>5</v>
      </c>
      <c r="H64" s="569" t="s">
        <v>146</v>
      </c>
      <c r="I64" s="573"/>
      <c r="J64" s="573"/>
      <c r="K64" s="570"/>
      <c r="L64" s="307"/>
      <c r="M64" s="308"/>
    </row>
    <row r="65" spans="1:15" ht="23.25" x14ac:dyDescent="0.35">
      <c r="A65" s="309"/>
      <c r="B65" s="352"/>
      <c r="C65" s="344"/>
      <c r="D65" s="344"/>
      <c r="E65" s="344"/>
      <c r="F65" s="344"/>
      <c r="G65" s="344"/>
      <c r="H65" s="569" t="s">
        <v>110</v>
      </c>
      <c r="I65" s="573"/>
      <c r="J65" s="573"/>
      <c r="K65" s="570"/>
      <c r="L65" s="307"/>
      <c r="M65" s="308"/>
    </row>
    <row r="66" spans="1:15" ht="23.25" x14ac:dyDescent="0.35">
      <c r="A66" s="309"/>
      <c r="B66" s="352"/>
      <c r="C66" s="344"/>
      <c r="D66" s="344"/>
      <c r="E66" s="344"/>
      <c r="F66" s="344"/>
      <c r="G66" s="344"/>
      <c r="H66" s="569" t="s">
        <v>191</v>
      </c>
      <c r="I66" s="573"/>
      <c r="J66" s="573"/>
      <c r="K66" s="570"/>
      <c r="L66" s="307"/>
      <c r="M66" s="308"/>
    </row>
    <row r="67" spans="1:15" ht="23.25" x14ac:dyDescent="0.35">
      <c r="A67" s="309"/>
      <c r="B67" s="352"/>
      <c r="C67" s="344"/>
      <c r="D67" s="344"/>
      <c r="E67" s="344"/>
      <c r="F67" s="344"/>
      <c r="G67" s="344"/>
      <c r="H67" s="569"/>
      <c r="I67" s="323" t="s">
        <v>112</v>
      </c>
      <c r="J67" s="324">
        <v>2</v>
      </c>
      <c r="K67" s="382"/>
      <c r="L67" s="307"/>
      <c r="M67" s="308"/>
    </row>
    <row r="68" spans="1:15" ht="23.25" x14ac:dyDescent="0.35">
      <c r="A68" s="325"/>
      <c r="B68" s="359"/>
      <c r="C68" s="310"/>
      <c r="D68" s="310"/>
      <c r="E68" s="310"/>
      <c r="F68" s="310"/>
      <c r="G68" s="310"/>
      <c r="H68" s="891"/>
      <c r="I68" s="892"/>
      <c r="J68" s="892"/>
      <c r="K68" s="893"/>
      <c r="L68" s="326"/>
      <c r="M68" s="299"/>
    </row>
    <row r="69" spans="1:15" ht="23.25" x14ac:dyDescent="0.35">
      <c r="A69" s="350" t="s">
        <v>132</v>
      </c>
      <c r="B69" s="407">
        <v>4</v>
      </c>
      <c r="C69" s="340">
        <v>0.1</v>
      </c>
      <c r="D69" s="340">
        <v>0.3</v>
      </c>
      <c r="E69" s="340">
        <v>0.5</v>
      </c>
      <c r="F69" s="340">
        <v>0.7</v>
      </c>
      <c r="G69" s="340">
        <v>1</v>
      </c>
      <c r="H69" s="574" t="s">
        <v>123</v>
      </c>
      <c r="I69" s="571"/>
      <c r="J69" s="571"/>
      <c r="K69" s="572"/>
      <c r="L69" s="304">
        <v>5</v>
      </c>
      <c r="M69" s="305">
        <f>IF(L69=0,"-",ROUND(L69*B69/B$90,4))</f>
        <v>0.26319999999999999</v>
      </c>
      <c r="N69" s="481" t="s">
        <v>213</v>
      </c>
    </row>
    <row r="70" spans="1:15" ht="23.25" x14ac:dyDescent="0.35">
      <c r="A70" s="351" t="s">
        <v>192</v>
      </c>
      <c r="B70" s="352"/>
      <c r="C70" s="320"/>
      <c r="D70" s="320"/>
      <c r="E70" s="320"/>
      <c r="F70" s="320"/>
      <c r="G70" s="311"/>
      <c r="H70" s="569" t="s">
        <v>124</v>
      </c>
      <c r="I70" s="322"/>
      <c r="J70" s="353"/>
      <c r="K70" s="354"/>
      <c r="L70" s="355"/>
      <c r="M70" s="308"/>
      <c r="N70" s="292">
        <v>30</v>
      </c>
      <c r="O70" s="650">
        <v>1</v>
      </c>
    </row>
    <row r="71" spans="1:15" ht="23.25" x14ac:dyDescent="0.35">
      <c r="A71" s="351"/>
      <c r="B71" s="352"/>
      <c r="C71" s="320"/>
      <c r="D71" s="320"/>
      <c r="E71" s="320"/>
      <c r="F71" s="320"/>
      <c r="G71" s="320"/>
      <c r="H71" s="573" t="s">
        <v>125</v>
      </c>
      <c r="I71" s="322"/>
      <c r="J71" s="353"/>
      <c r="K71" s="354"/>
      <c r="L71" s="355"/>
      <c r="M71" s="308"/>
      <c r="N71" s="292">
        <v>27</v>
      </c>
      <c r="O71" s="650">
        <f>O70*N71/N70</f>
        <v>0.9</v>
      </c>
    </row>
    <row r="72" spans="1:15" ht="23.25" x14ac:dyDescent="0.35">
      <c r="A72" s="351"/>
      <c r="B72" s="352"/>
      <c r="C72" s="320"/>
      <c r="D72" s="320"/>
      <c r="E72" s="320"/>
      <c r="F72" s="320"/>
      <c r="G72" s="320"/>
      <c r="H72" s="569" t="s">
        <v>126</v>
      </c>
      <c r="I72" s="322"/>
      <c r="J72" s="353"/>
      <c r="K72" s="354"/>
      <c r="L72" s="355"/>
      <c r="M72" s="308"/>
    </row>
    <row r="73" spans="1:15" ht="23.25" x14ac:dyDescent="0.35">
      <c r="A73" s="351"/>
      <c r="B73" s="352"/>
      <c r="C73" s="320"/>
      <c r="D73" s="320"/>
      <c r="E73" s="320"/>
      <c r="F73" s="320"/>
      <c r="G73" s="320"/>
      <c r="H73" s="569" t="s">
        <v>127</v>
      </c>
      <c r="I73" s="322"/>
      <c r="J73" s="353"/>
      <c r="K73" s="354"/>
      <c r="L73" s="355"/>
      <c r="M73" s="308"/>
    </row>
    <row r="74" spans="1:15" ht="23.25" x14ac:dyDescent="0.35">
      <c r="A74" s="351"/>
      <c r="B74" s="352"/>
      <c r="C74" s="320"/>
      <c r="D74" s="320"/>
      <c r="E74" s="320"/>
      <c r="F74" s="320"/>
      <c r="G74" s="320"/>
      <c r="H74" s="569"/>
      <c r="I74" s="323" t="s">
        <v>114</v>
      </c>
      <c r="J74" s="408">
        <f>สพญ.!S98</f>
        <v>100</v>
      </c>
      <c r="K74" s="382" t="s">
        <v>51</v>
      </c>
      <c r="L74" s="355"/>
      <c r="M74" s="308"/>
    </row>
    <row r="75" spans="1:15" ht="23.25" x14ac:dyDescent="0.35">
      <c r="A75" s="358"/>
      <c r="B75" s="359"/>
      <c r="C75" s="310"/>
      <c r="D75" s="310"/>
      <c r="E75" s="310"/>
      <c r="F75" s="310"/>
      <c r="G75" s="310"/>
      <c r="H75" s="330"/>
      <c r="I75" s="423"/>
      <c r="J75" s="423"/>
      <c r="K75" s="424"/>
      <c r="L75" s="360"/>
      <c r="M75" s="299"/>
    </row>
    <row r="76" spans="1:15" ht="23.25" x14ac:dyDescent="0.35">
      <c r="A76" s="302" t="s">
        <v>115</v>
      </c>
      <c r="B76" s="407">
        <v>4</v>
      </c>
      <c r="C76" s="361">
        <v>0.8</v>
      </c>
      <c r="D76" s="361">
        <v>0.85</v>
      </c>
      <c r="E76" s="361">
        <v>0.9</v>
      </c>
      <c r="F76" s="361">
        <v>0.95</v>
      </c>
      <c r="G76" s="361">
        <v>1</v>
      </c>
      <c r="H76" s="574" t="s">
        <v>157</v>
      </c>
      <c r="I76" s="571"/>
      <c r="J76" s="571"/>
      <c r="K76" s="572"/>
      <c r="L76" s="304">
        <v>5</v>
      </c>
      <c r="M76" s="305">
        <f>IF(L76=0,"-",ROUND(L76*B76/B$90,4))</f>
        <v>0.26319999999999999</v>
      </c>
    </row>
    <row r="77" spans="1:15" ht="23.25" x14ac:dyDescent="0.35">
      <c r="A77" s="309" t="s">
        <v>116</v>
      </c>
      <c r="B77" s="352"/>
      <c r="C77" s="348"/>
      <c r="D77" s="348"/>
      <c r="E77" s="348"/>
      <c r="F77" s="348"/>
      <c r="G77" s="348"/>
      <c r="H77" s="569" t="s">
        <v>158</v>
      </c>
      <c r="I77" s="573"/>
      <c r="J77" s="573"/>
      <c r="K77" s="570"/>
      <c r="L77" s="362"/>
      <c r="M77" s="308"/>
    </row>
    <row r="78" spans="1:15" ht="23.25" x14ac:dyDescent="0.35">
      <c r="A78" s="309" t="s">
        <v>193</v>
      </c>
      <c r="B78" s="352"/>
      <c r="C78" s="320"/>
      <c r="D78" s="320"/>
      <c r="E78" s="320"/>
      <c r="F78" s="320"/>
      <c r="G78" s="320"/>
      <c r="H78" s="569" t="s">
        <v>197</v>
      </c>
      <c r="I78" s="573"/>
      <c r="J78" s="573"/>
      <c r="K78" s="570"/>
      <c r="L78" s="362"/>
      <c r="M78" s="308"/>
    </row>
    <row r="79" spans="1:15" ht="23.25" x14ac:dyDescent="0.35">
      <c r="A79" s="309"/>
      <c r="B79" s="352"/>
      <c r="C79" s="320"/>
      <c r="D79" s="320"/>
      <c r="E79" s="320"/>
      <c r="F79" s="320"/>
      <c r="G79" s="320"/>
      <c r="H79" s="569" t="s">
        <v>120</v>
      </c>
      <c r="I79" s="573"/>
      <c r="J79" s="573"/>
      <c r="K79" s="570"/>
      <c r="L79" s="362"/>
      <c r="M79" s="308"/>
    </row>
    <row r="80" spans="1:15" ht="23.25" x14ac:dyDescent="0.35">
      <c r="A80" s="309"/>
      <c r="B80" s="352"/>
      <c r="C80" s="320"/>
      <c r="D80" s="320"/>
      <c r="E80" s="320"/>
      <c r="F80" s="320"/>
      <c r="G80" s="320"/>
      <c r="H80" s="569" t="s">
        <v>194</v>
      </c>
      <c r="I80" s="573"/>
      <c r="J80" s="573"/>
      <c r="K80" s="570"/>
      <c r="L80" s="362"/>
      <c r="M80" s="308"/>
    </row>
    <row r="81" spans="1:13" ht="23.25" x14ac:dyDescent="0.35">
      <c r="A81" s="309"/>
      <c r="B81" s="352"/>
      <c r="C81" s="320"/>
      <c r="D81" s="320"/>
      <c r="E81" s="320"/>
      <c r="F81" s="320"/>
      <c r="G81" s="344"/>
      <c r="H81" s="569" t="s">
        <v>195</v>
      </c>
      <c r="I81" s="345"/>
      <c r="J81" s="408">
        <v>100</v>
      </c>
      <c r="K81" s="413" t="s">
        <v>51</v>
      </c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329"/>
      <c r="H82" s="576"/>
      <c r="I82" s="582"/>
      <c r="J82" s="583"/>
      <c r="K82" s="584"/>
      <c r="L82" s="416"/>
      <c r="M82" s="308"/>
    </row>
    <row r="83" spans="1:13" ht="23.25" x14ac:dyDescent="0.35">
      <c r="A83" s="351" t="s">
        <v>324</v>
      </c>
      <c r="B83" s="585">
        <v>4</v>
      </c>
      <c r="C83" s="586">
        <v>0.4</v>
      </c>
      <c r="D83" s="586">
        <v>0.45</v>
      </c>
      <c r="E83" s="586">
        <v>0.5</v>
      </c>
      <c r="F83" s="586">
        <v>0.55000000000000004</v>
      </c>
      <c r="G83" s="586">
        <v>0.6</v>
      </c>
      <c r="H83" s="569" t="s">
        <v>325</v>
      </c>
      <c r="I83" s="345"/>
      <c r="J83" s="587"/>
      <c r="K83" s="588"/>
      <c r="L83" s="412">
        <v>2</v>
      </c>
      <c r="M83" s="305">
        <f>IF(L83=0,"-",ROUND(L83*B83/B$90,4))</f>
        <v>0.1053</v>
      </c>
    </row>
    <row r="84" spans="1:13" ht="23.25" x14ac:dyDescent="0.35">
      <c r="A84" s="351" t="s">
        <v>326</v>
      </c>
      <c r="B84" s="406"/>
      <c r="C84" s="311"/>
      <c r="D84" s="311"/>
      <c r="E84" s="311"/>
      <c r="F84" s="311"/>
      <c r="G84" s="333"/>
      <c r="H84" s="569" t="s">
        <v>327</v>
      </c>
      <c r="I84" s="345"/>
      <c r="J84" s="587"/>
      <c r="K84" s="588"/>
      <c r="L84" s="412"/>
      <c r="M84" s="308"/>
    </row>
    <row r="85" spans="1:13" ht="23.25" x14ac:dyDescent="0.35">
      <c r="A85" s="351"/>
      <c r="B85" s="406"/>
      <c r="C85" s="311"/>
      <c r="D85" s="311"/>
      <c r="E85" s="311"/>
      <c r="F85" s="311"/>
      <c r="G85" s="333"/>
      <c r="H85" s="569"/>
      <c r="I85" s="345"/>
      <c r="J85" s="587"/>
      <c r="K85" s="588"/>
      <c r="L85" s="412"/>
      <c r="M85" s="308"/>
    </row>
    <row r="86" spans="1:13" ht="23.25" x14ac:dyDescent="0.35">
      <c r="A86" s="351"/>
      <c r="B86" s="406"/>
      <c r="C86" s="311"/>
      <c r="D86" s="311"/>
      <c r="E86" s="311"/>
      <c r="F86" s="311"/>
      <c r="G86" s="333"/>
      <c r="H86" s="569"/>
      <c r="I86" s="345" t="s">
        <v>174</v>
      </c>
      <c r="J86" s="589">
        <v>50</v>
      </c>
      <c r="K86" s="413" t="s">
        <v>51</v>
      </c>
      <c r="L86" s="412"/>
      <c r="M86" s="308"/>
    </row>
    <row r="87" spans="1:13" ht="23.25" x14ac:dyDescent="0.35">
      <c r="A87" s="351"/>
      <c r="B87" s="406"/>
      <c r="C87" s="311"/>
      <c r="D87" s="311"/>
      <c r="E87" s="311"/>
      <c r="F87" s="311"/>
      <c r="G87" s="333"/>
      <c r="H87" s="569"/>
      <c r="I87" s="345"/>
      <c r="J87" s="587"/>
      <c r="K87" s="588"/>
      <c r="L87" s="412"/>
      <c r="M87" s="308"/>
    </row>
    <row r="88" spans="1:13" ht="23.25" x14ac:dyDescent="0.35">
      <c r="A88" s="351"/>
      <c r="B88" s="406"/>
      <c r="C88" s="311"/>
      <c r="D88" s="311"/>
      <c r="E88" s="311"/>
      <c r="F88" s="311"/>
      <c r="G88" s="333"/>
      <c r="H88" s="569"/>
      <c r="I88" s="345"/>
      <c r="J88" s="587"/>
      <c r="K88" s="588"/>
      <c r="L88" s="412"/>
      <c r="M88" s="308"/>
    </row>
    <row r="89" spans="1:13" ht="23.25" x14ac:dyDescent="0.35">
      <c r="A89" s="358"/>
      <c r="B89" s="414"/>
      <c r="C89" s="411"/>
      <c r="D89" s="411"/>
      <c r="E89" s="411"/>
      <c r="F89" s="411"/>
      <c r="G89" s="415"/>
      <c r="H89" s="576"/>
      <c r="I89" s="345"/>
      <c r="J89" s="587"/>
      <c r="K89" s="584"/>
      <c r="L89" s="412"/>
      <c r="M89" s="308"/>
    </row>
    <row r="90" spans="1:13" ht="26.25" x14ac:dyDescent="0.4">
      <c r="A90" s="363"/>
      <c r="B90" s="409">
        <f>ROUND(SUM(B6:B89),1)</f>
        <v>76</v>
      </c>
      <c r="C90" s="364"/>
      <c r="D90" s="364"/>
      <c r="E90" s="364"/>
      <c r="F90" s="364"/>
      <c r="G90" s="365"/>
      <c r="H90" s="364"/>
      <c r="I90" s="364"/>
      <c r="J90" s="364"/>
      <c r="K90" s="364"/>
      <c r="L90" s="366" t="s">
        <v>139</v>
      </c>
      <c r="M90" s="410">
        <f>(SUM(M6:M89))</f>
        <v>3.9238999999999997</v>
      </c>
    </row>
  </sheetData>
  <mergeCells count="22">
    <mergeCell ref="P33:Q33"/>
    <mergeCell ref="P34:Q34"/>
    <mergeCell ref="H62:K62"/>
    <mergeCell ref="H68:K68"/>
    <mergeCell ref="H14:K14"/>
    <mergeCell ref="H15:K15"/>
    <mergeCell ref="H20:K20"/>
    <mergeCell ref="H22:K22"/>
    <mergeCell ref="H27:K27"/>
    <mergeCell ref="P32:Q32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00000003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2" max="12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65.28515625" style="292" bestFit="1" customWidth="1"/>
    <col min="16" max="16" width="4.85546875" style="292" bestFit="1" customWidth="1"/>
    <col min="17" max="17" width="15.28515625" style="292" bestFit="1" customWidth="1"/>
    <col min="18" max="18" width="13.85546875" style="292" bestFit="1" customWidth="1"/>
    <col min="19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404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28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v>4.8018999999999998</v>
      </c>
      <c r="M6" s="305">
        <f>IF(L6=0,"-",ROUND(L6*B6/B$83,4))</f>
        <v>0.30009999999999998</v>
      </c>
      <c r="N6" s="425" t="s">
        <v>357</v>
      </c>
      <c r="Q6" s="545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  <c r="N7" s="425" t="s">
        <v>236</v>
      </c>
      <c r="Q7" s="545"/>
      <c r="R7" s="545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28" ht="23.25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28" ht="23.25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28" ht="23.25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v>84.01</v>
      </c>
      <c r="K11" s="570" t="s">
        <v>51</v>
      </c>
      <c r="L11" s="307"/>
      <c r="M11" s="308"/>
      <c r="Q11" s="603"/>
      <c r="R11" s="442"/>
    </row>
    <row r="12" spans="1:28" ht="23.25" x14ac:dyDescent="0.35">
      <c r="A12" s="325"/>
      <c r="B12" s="402"/>
      <c r="C12" s="310"/>
      <c r="D12" s="310"/>
      <c r="E12" s="310"/>
      <c r="F12" s="310"/>
      <c r="G12" s="310"/>
      <c r="H12" s="891" t="s">
        <v>405</v>
      </c>
      <c r="I12" s="892"/>
      <c r="J12" s="892"/>
      <c r="K12" s="893"/>
      <c r="L12" s="326"/>
      <c r="M12" s="299"/>
      <c r="Q12" s="568" t="s">
        <v>320</v>
      </c>
      <c r="R12" s="568" t="s">
        <v>238</v>
      </c>
    </row>
    <row r="13" spans="1:28" ht="23.25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v>1</v>
      </c>
      <c r="M13" s="305">
        <f>IF(L13=0,"-",ROUND(L13*B13/B$83,4))</f>
        <v>0.1875</v>
      </c>
      <c r="N13" s="425" t="s">
        <v>199</v>
      </c>
      <c r="O13" s="292" t="s">
        <v>378</v>
      </c>
      <c r="Q13" s="610">
        <f>สพญ.!R27</f>
        <v>207231260</v>
      </c>
      <c r="R13" s="756">
        <f>สพญ.!S27</f>
        <v>71.3</v>
      </c>
      <c r="S13" s="292" t="s">
        <v>51</v>
      </c>
    </row>
    <row r="14" spans="1:28" ht="23.25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  <c r="N14" s="481" t="s">
        <v>236</v>
      </c>
      <c r="Q14" s="545"/>
      <c r="R14" s="545"/>
    </row>
    <row r="15" spans="1:28" ht="23.25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  <c r="N15" s="292">
        <v>10</v>
      </c>
      <c r="O15" s="431">
        <v>1</v>
      </c>
      <c r="Q15" s="545"/>
      <c r="R15" s="545"/>
    </row>
    <row r="16" spans="1:28" ht="23.25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  <c r="N16" s="624">
        <f>J18-60</f>
        <v>11.299999999999997</v>
      </c>
      <c r="O16" s="431">
        <f>N16*O15/N15</f>
        <v>1.1299999999999997</v>
      </c>
      <c r="Q16" s="545"/>
      <c r="R16" s="545"/>
    </row>
    <row r="17" spans="1:19" ht="25.5" x14ac:dyDescent="0.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  <c r="Q17" s="496"/>
      <c r="R17" s="617"/>
      <c r="S17" s="441"/>
    </row>
    <row r="18" spans="1:19" ht="23.25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R13</f>
        <v>71.3</v>
      </c>
      <c r="K18" s="570" t="s">
        <v>51</v>
      </c>
      <c r="L18" s="307"/>
      <c r="M18" s="308"/>
    </row>
    <row r="19" spans="1:19" ht="23.25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  <c r="Q19" s="568" t="s">
        <v>320</v>
      </c>
      <c r="R19" s="568" t="s">
        <v>330</v>
      </c>
    </row>
    <row r="20" spans="1:19" ht="23.25" x14ac:dyDescent="0.35">
      <c r="A20" s="302" t="s">
        <v>179</v>
      </c>
      <c r="B20" s="403">
        <v>4</v>
      </c>
      <c r="C20" s="332">
        <v>0.5</v>
      </c>
      <c r="D20" s="332">
        <v>0.75</v>
      </c>
      <c r="E20" s="332">
        <v>1</v>
      </c>
      <c r="F20" s="332">
        <v>1</v>
      </c>
      <c r="G20" s="332">
        <v>1</v>
      </c>
      <c r="H20" s="894" t="s">
        <v>57</v>
      </c>
      <c r="I20" s="895"/>
      <c r="J20" s="895"/>
      <c r="K20" s="896"/>
      <c r="L20" s="304">
        <f>2+O23</f>
        <v>2.8403165333333336</v>
      </c>
      <c r="M20" s="305">
        <f>IF(L20=0,"-",ROUND(L20*B20/B$83,4))</f>
        <v>0.17749999999999999</v>
      </c>
      <c r="N20" s="425" t="s">
        <v>199</v>
      </c>
      <c r="O20" s="292" t="s">
        <v>379</v>
      </c>
      <c r="Q20" s="619">
        <v>600000</v>
      </c>
      <c r="R20" s="620">
        <v>576047.48</v>
      </c>
      <c r="S20" s="292" t="s">
        <v>187</v>
      </c>
    </row>
    <row r="21" spans="1:19" ht="23.25" x14ac:dyDescent="0.35">
      <c r="A21" s="309" t="s">
        <v>23</v>
      </c>
      <c r="B21" s="352"/>
      <c r="C21" s="320"/>
      <c r="D21" s="320"/>
      <c r="E21" s="320"/>
      <c r="F21" s="335" t="s">
        <v>70</v>
      </c>
      <c r="G21" s="335" t="s">
        <v>70</v>
      </c>
      <c r="H21" s="569" t="s">
        <v>58</v>
      </c>
      <c r="I21" s="573"/>
      <c r="J21" s="573"/>
      <c r="K21" s="570"/>
      <c r="L21" s="307"/>
      <c r="M21" s="308"/>
      <c r="N21" s="481" t="s">
        <v>236</v>
      </c>
      <c r="P21" s="292" t="s">
        <v>344</v>
      </c>
      <c r="Q21" s="619">
        <f>Q20</f>
        <v>600000</v>
      </c>
      <c r="R21" s="620">
        <f>R20</f>
        <v>576047.48</v>
      </c>
      <c r="S21" s="292" t="s">
        <v>187</v>
      </c>
    </row>
    <row r="22" spans="1:19" ht="23.25" x14ac:dyDescent="0.35">
      <c r="A22" s="309" t="s">
        <v>24</v>
      </c>
      <c r="B22" s="352"/>
      <c r="C22" s="320"/>
      <c r="D22" s="320"/>
      <c r="E22" s="320"/>
      <c r="F22" s="335" t="s">
        <v>137</v>
      </c>
      <c r="G22" s="335" t="s">
        <v>138</v>
      </c>
      <c r="H22" s="569" t="s">
        <v>147</v>
      </c>
      <c r="I22" s="573"/>
      <c r="J22" s="573"/>
      <c r="K22" s="570"/>
      <c r="L22" s="307"/>
      <c r="M22" s="308"/>
      <c r="N22" s="292">
        <v>25</v>
      </c>
      <c r="O22" s="431">
        <v>1</v>
      </c>
      <c r="Q22" s="479">
        <f>R21*100/Q21</f>
        <v>96.007913333333335</v>
      </c>
      <c r="R22" s="292" t="s">
        <v>51</v>
      </c>
    </row>
    <row r="23" spans="1:19" ht="23.25" x14ac:dyDescent="0.35">
      <c r="A23" s="309"/>
      <c r="B23" s="352"/>
      <c r="C23" s="320"/>
      <c r="D23" s="320"/>
      <c r="E23" s="320"/>
      <c r="F23" s="320"/>
      <c r="G23" s="320"/>
      <c r="H23" s="569" t="s">
        <v>180</v>
      </c>
      <c r="I23" s="573"/>
      <c r="J23" s="573"/>
      <c r="K23" s="570"/>
      <c r="L23" s="307"/>
      <c r="M23" s="308"/>
      <c r="N23" s="540">
        <f>J24-75</f>
        <v>21.007913333333335</v>
      </c>
      <c r="O23" s="651">
        <f>O22*N23/N22</f>
        <v>0.84031653333333334</v>
      </c>
      <c r="Q23" s="545"/>
      <c r="R23" s="545"/>
    </row>
    <row r="24" spans="1:19" ht="23.25" x14ac:dyDescent="0.35">
      <c r="A24" s="309"/>
      <c r="B24" s="352"/>
      <c r="C24" s="320"/>
      <c r="D24" s="320"/>
      <c r="E24" s="320"/>
      <c r="F24" s="320"/>
      <c r="G24" s="311"/>
      <c r="H24" s="569"/>
      <c r="I24" s="323" t="s">
        <v>56</v>
      </c>
      <c r="J24" s="324">
        <f>Q22</f>
        <v>96.007913333333335</v>
      </c>
      <c r="K24" s="570" t="s">
        <v>51</v>
      </c>
      <c r="L24" s="307"/>
      <c r="M24" s="308"/>
    </row>
    <row r="25" spans="1:19" ht="23.25" x14ac:dyDescent="0.35">
      <c r="A25" s="309"/>
      <c r="B25" s="352"/>
      <c r="C25" s="320"/>
      <c r="D25" s="320"/>
      <c r="E25" s="320"/>
      <c r="F25" s="320"/>
      <c r="G25" s="320"/>
      <c r="H25" s="333"/>
      <c r="I25" s="306"/>
      <c r="J25" s="306"/>
      <c r="K25" s="312"/>
      <c r="L25" s="307"/>
      <c r="M25" s="308"/>
    </row>
    <row r="26" spans="1:19" ht="23.25" x14ac:dyDescent="0.35">
      <c r="A26" s="302" t="s">
        <v>181</v>
      </c>
      <c r="B26" s="403">
        <v>4</v>
      </c>
      <c r="C26" s="332">
        <v>0.96</v>
      </c>
      <c r="D26" s="332">
        <v>0.97</v>
      </c>
      <c r="E26" s="332">
        <v>0.98</v>
      </c>
      <c r="F26" s="332">
        <v>0.99</v>
      </c>
      <c r="G26" s="332">
        <v>1</v>
      </c>
      <c r="H26" s="574" t="s">
        <v>148</v>
      </c>
      <c r="I26" s="571"/>
      <c r="J26" s="571"/>
      <c r="K26" s="572"/>
      <c r="L26" s="304">
        <f>4+O30</f>
        <v>4.9999000000000002</v>
      </c>
      <c r="M26" s="305">
        <f>IF(L26=0,"-",ROUND(L26*B26/B$83,4))</f>
        <v>0.3125</v>
      </c>
      <c r="N26" s="425" t="s">
        <v>331</v>
      </c>
      <c r="O26" s="450" t="s">
        <v>214</v>
      </c>
      <c r="P26" s="451"/>
      <c r="Q26" s="452"/>
      <c r="R26" s="453">
        <v>48296613</v>
      </c>
      <c r="S26" s="292" t="s">
        <v>187</v>
      </c>
    </row>
    <row r="27" spans="1:19" ht="23.25" x14ac:dyDescent="0.35">
      <c r="A27" s="309" t="s">
        <v>26</v>
      </c>
      <c r="B27" s="352"/>
      <c r="C27" s="320"/>
      <c r="D27" s="320"/>
      <c r="E27" s="320"/>
      <c r="F27" s="320"/>
      <c r="G27" s="320"/>
      <c r="H27" s="380" t="s">
        <v>149</v>
      </c>
      <c r="I27" s="381"/>
      <c r="J27" s="381"/>
      <c r="K27" s="382"/>
      <c r="L27" s="307"/>
      <c r="M27" s="308"/>
      <c r="N27" s="481" t="s">
        <v>236</v>
      </c>
      <c r="O27" s="443" t="s">
        <v>215</v>
      </c>
      <c r="P27" s="444"/>
      <c r="Q27" s="446"/>
      <c r="R27" s="473">
        <v>48296612</v>
      </c>
      <c r="S27" s="292" t="s">
        <v>187</v>
      </c>
    </row>
    <row r="28" spans="1:19" ht="23.25" x14ac:dyDescent="0.35">
      <c r="A28" s="309"/>
      <c r="B28" s="352"/>
      <c r="C28" s="320"/>
      <c r="D28" s="320"/>
      <c r="E28" s="320"/>
      <c r="F28" s="320"/>
      <c r="G28" s="320"/>
      <c r="H28" s="380" t="s">
        <v>75</v>
      </c>
      <c r="I28" s="381"/>
      <c r="J28" s="381"/>
      <c r="K28" s="382"/>
      <c r="L28" s="307"/>
      <c r="M28" s="308"/>
      <c r="R28" s="432">
        <f>R27*100/R26</f>
        <v>99.999997929461429</v>
      </c>
      <c r="S28" s="292" t="s">
        <v>51</v>
      </c>
    </row>
    <row r="29" spans="1:19" ht="23.25" x14ac:dyDescent="0.35">
      <c r="A29" s="309"/>
      <c r="B29" s="352"/>
      <c r="C29" s="320"/>
      <c r="D29" s="320"/>
      <c r="E29" s="320"/>
      <c r="F29" s="320"/>
      <c r="G29" s="320"/>
      <c r="H29" s="380" t="s">
        <v>182</v>
      </c>
      <c r="I29" s="383"/>
      <c r="J29" s="383"/>
      <c r="K29" s="384"/>
      <c r="L29" s="307"/>
      <c r="M29" s="308"/>
      <c r="N29" s="292">
        <v>1</v>
      </c>
      <c r="O29" s="431">
        <v>1</v>
      </c>
    </row>
    <row r="30" spans="1:19" ht="23.25" x14ac:dyDescent="0.35">
      <c r="A30" s="309"/>
      <c r="B30" s="352"/>
      <c r="C30" s="320"/>
      <c r="D30" s="320"/>
      <c r="E30" s="320"/>
      <c r="F30" s="320"/>
      <c r="G30" s="311"/>
      <c r="H30" s="569"/>
      <c r="I30" s="323" t="s">
        <v>56</v>
      </c>
      <c r="J30" s="652">
        <f>R28</f>
        <v>99.999997929461429</v>
      </c>
      <c r="K30" s="570" t="s">
        <v>51</v>
      </c>
      <c r="L30" s="307"/>
      <c r="M30" s="308"/>
      <c r="N30" s="292">
        <v>0.99990000000000001</v>
      </c>
      <c r="O30" s="431">
        <f>O29*N30/N29</f>
        <v>0.99990000000000001</v>
      </c>
    </row>
    <row r="31" spans="1:19" ht="23.25" x14ac:dyDescent="0.35">
      <c r="A31" s="325"/>
      <c r="B31" s="359"/>
      <c r="C31" s="310"/>
      <c r="D31" s="310"/>
      <c r="E31" s="310"/>
      <c r="F31" s="310"/>
      <c r="G31" s="310"/>
      <c r="H31" s="329"/>
      <c r="I31" s="423"/>
      <c r="J31" s="423"/>
      <c r="K31" s="424"/>
      <c r="L31" s="326"/>
      <c r="M31" s="299"/>
    </row>
    <row r="32" spans="1:19" ht="23.25" x14ac:dyDescent="0.35">
      <c r="A32" s="302" t="s">
        <v>183</v>
      </c>
      <c r="B32" s="403">
        <v>4</v>
      </c>
      <c r="C32" s="332">
        <v>0.8</v>
      </c>
      <c r="D32" s="332">
        <v>0.85</v>
      </c>
      <c r="E32" s="332">
        <v>0.9</v>
      </c>
      <c r="F32" s="332">
        <v>0.95</v>
      </c>
      <c r="G32" s="332">
        <v>1</v>
      </c>
      <c r="H32" s="386" t="s">
        <v>150</v>
      </c>
      <c r="I32" s="387"/>
      <c r="J32" s="387"/>
      <c r="K32" s="388"/>
      <c r="L32" s="304">
        <v>5</v>
      </c>
      <c r="M32" s="305">
        <f>IF(L32=0,"-",ROUND(L32*B32/B$83,4))</f>
        <v>0.3125</v>
      </c>
      <c r="N32" s="425" t="s">
        <v>201</v>
      </c>
    </row>
    <row r="33" spans="1:15" ht="24" customHeight="1" x14ac:dyDescent="0.35">
      <c r="A33" s="309" t="s">
        <v>28</v>
      </c>
      <c r="B33" s="352"/>
      <c r="C33" s="320"/>
      <c r="D33" s="320"/>
      <c r="E33" s="320"/>
      <c r="F33" s="320"/>
      <c r="G33" s="320"/>
      <c r="H33" s="569" t="s">
        <v>154</v>
      </c>
      <c r="I33" s="573"/>
      <c r="J33" s="573"/>
      <c r="K33" s="570"/>
      <c r="L33" s="307"/>
      <c r="M33" s="308"/>
      <c r="N33" s="481" t="s">
        <v>236</v>
      </c>
    </row>
    <row r="34" spans="1:15" ht="23.25" x14ac:dyDescent="0.35">
      <c r="A34" s="309" t="s">
        <v>60</v>
      </c>
      <c r="B34" s="352"/>
      <c r="C34" s="320"/>
      <c r="D34" s="320"/>
      <c r="E34" s="320"/>
      <c r="F34" s="320"/>
      <c r="G34" s="320"/>
      <c r="H34" s="569" t="s">
        <v>64</v>
      </c>
      <c r="I34" s="573"/>
      <c r="J34" s="573"/>
      <c r="K34" s="570"/>
      <c r="L34" s="307"/>
      <c r="M34" s="308"/>
    </row>
    <row r="35" spans="1:15" ht="23.25" x14ac:dyDescent="0.35">
      <c r="A35" s="309"/>
      <c r="B35" s="352"/>
      <c r="C35" s="320"/>
      <c r="D35" s="320"/>
      <c r="E35" s="320"/>
      <c r="F35" s="320"/>
      <c r="G35" s="320"/>
      <c r="H35" s="380" t="s">
        <v>180</v>
      </c>
      <c r="I35" s="323"/>
      <c r="J35" s="322" t="s">
        <v>356</v>
      </c>
      <c r="K35" s="382"/>
      <c r="L35" s="307"/>
      <c r="M35" s="308"/>
    </row>
    <row r="36" spans="1:15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66</v>
      </c>
      <c r="J36" s="334">
        <v>1</v>
      </c>
      <c r="K36" s="382" t="s">
        <v>61</v>
      </c>
      <c r="L36" s="307"/>
      <c r="M36" s="308"/>
    </row>
    <row r="37" spans="1:15" ht="23.25" x14ac:dyDescent="0.35">
      <c r="A37" s="309"/>
      <c r="B37" s="352"/>
      <c r="C37" s="320"/>
      <c r="D37" s="320"/>
      <c r="E37" s="320"/>
      <c r="F37" s="320"/>
      <c r="G37" s="320"/>
      <c r="H37" s="380"/>
      <c r="I37" s="323" t="s">
        <v>67</v>
      </c>
      <c r="J37" s="334">
        <v>1</v>
      </c>
      <c r="K37" s="382" t="s">
        <v>61</v>
      </c>
      <c r="L37" s="307"/>
      <c r="M37" s="308"/>
    </row>
    <row r="38" spans="1:15" ht="23.25" x14ac:dyDescent="0.35">
      <c r="A38" s="309"/>
      <c r="B38" s="352"/>
      <c r="C38" s="320"/>
      <c r="D38" s="320"/>
      <c r="E38" s="320"/>
      <c r="F38" s="320"/>
      <c r="G38" s="320"/>
      <c r="H38" s="569"/>
      <c r="I38" s="323" t="s">
        <v>81</v>
      </c>
      <c r="J38" s="334">
        <f>J37*100/J36</f>
        <v>100</v>
      </c>
      <c r="K38" s="570" t="s">
        <v>51</v>
      </c>
      <c r="L38" s="307"/>
      <c r="M38" s="308"/>
    </row>
    <row r="39" spans="1:15" ht="23.25" x14ac:dyDescent="0.35">
      <c r="A39" s="325"/>
      <c r="B39" s="359"/>
      <c r="C39" s="310"/>
      <c r="D39" s="310"/>
      <c r="E39" s="310"/>
      <c r="F39" s="310"/>
      <c r="G39" s="310"/>
      <c r="H39" s="565"/>
      <c r="I39" s="423"/>
      <c r="J39" s="423"/>
      <c r="K39" s="424"/>
      <c r="L39" s="326"/>
      <c r="M39" s="299"/>
    </row>
    <row r="40" spans="1:15" ht="23.25" x14ac:dyDescent="0.35">
      <c r="A40" s="302" t="s">
        <v>184</v>
      </c>
      <c r="B40" s="403">
        <v>4</v>
      </c>
      <c r="C40" s="332">
        <v>0.5</v>
      </c>
      <c r="D40" s="332">
        <v>0.75</v>
      </c>
      <c r="E40" s="332">
        <v>1</v>
      </c>
      <c r="F40" s="332">
        <v>1</v>
      </c>
      <c r="G40" s="332">
        <v>1</v>
      </c>
      <c r="H40" s="574" t="s">
        <v>152</v>
      </c>
      <c r="I40" s="571"/>
      <c r="J40" s="571"/>
      <c r="K40" s="572"/>
      <c r="L40" s="304">
        <v>5</v>
      </c>
      <c r="M40" s="305">
        <f>IF(L40=0,"-",ROUND(L40*B40/B$83,4))</f>
        <v>0.3125</v>
      </c>
      <c r="N40" s="425" t="s">
        <v>332</v>
      </c>
    </row>
    <row r="41" spans="1:15" ht="23.25" x14ac:dyDescent="0.35">
      <c r="A41" s="309" t="s">
        <v>151</v>
      </c>
      <c r="B41" s="406"/>
      <c r="C41" s="335"/>
      <c r="D41" s="335"/>
      <c r="E41" s="335"/>
      <c r="F41" s="335" t="s">
        <v>70</v>
      </c>
      <c r="G41" s="335" t="s">
        <v>70</v>
      </c>
      <c r="H41" s="573" t="s">
        <v>153</v>
      </c>
      <c r="I41" s="573"/>
      <c r="J41" s="573"/>
      <c r="K41" s="570"/>
      <c r="L41" s="307"/>
      <c r="M41" s="308"/>
      <c r="N41" s="481" t="s">
        <v>236</v>
      </c>
    </row>
    <row r="42" spans="1:15" ht="23.25" x14ac:dyDescent="0.35">
      <c r="A42" s="309"/>
      <c r="B42" s="406"/>
      <c r="C42" s="335"/>
      <c r="D42" s="335"/>
      <c r="E42" s="335"/>
      <c r="F42" s="335" t="s">
        <v>137</v>
      </c>
      <c r="G42" s="335" t="s">
        <v>138</v>
      </c>
      <c r="H42" s="573" t="s">
        <v>180</v>
      </c>
      <c r="I42" s="573"/>
      <c r="J42" s="573"/>
      <c r="K42" s="570"/>
      <c r="L42" s="307"/>
      <c r="M42" s="308"/>
    </row>
    <row r="43" spans="1:15" ht="23.25" x14ac:dyDescent="0.35">
      <c r="A43" s="309"/>
      <c r="B43" s="406"/>
      <c r="C43" s="336"/>
      <c r="D43" s="336"/>
      <c r="E43" s="336"/>
      <c r="F43" s="336"/>
      <c r="G43" s="390"/>
      <c r="H43" s="569"/>
      <c r="I43" s="323" t="s">
        <v>56</v>
      </c>
      <c r="J43" s="324">
        <v>100</v>
      </c>
      <c r="K43" s="570" t="s">
        <v>51</v>
      </c>
      <c r="L43" s="307"/>
      <c r="M43" s="308"/>
    </row>
    <row r="44" spans="1:15" ht="23.25" x14ac:dyDescent="0.35">
      <c r="A44" s="325"/>
      <c r="B44" s="359"/>
      <c r="C44" s="310"/>
      <c r="D44" s="310"/>
      <c r="E44" s="310"/>
      <c r="F44" s="310"/>
      <c r="G44" s="310"/>
      <c r="H44" s="565"/>
      <c r="I44" s="566"/>
      <c r="J44" s="566"/>
      <c r="K44" s="567"/>
      <c r="L44" s="326"/>
      <c r="M44" s="299"/>
    </row>
    <row r="45" spans="1:15" ht="23.25" x14ac:dyDescent="0.35">
      <c r="A45" s="302" t="s">
        <v>185</v>
      </c>
      <c r="B45" s="403">
        <v>12</v>
      </c>
      <c r="C45" s="332">
        <v>0.78</v>
      </c>
      <c r="D45" s="332">
        <v>0.81</v>
      </c>
      <c r="E45" s="332">
        <v>0.84</v>
      </c>
      <c r="F45" s="332">
        <v>0.87</v>
      </c>
      <c r="G45" s="332">
        <v>0.9</v>
      </c>
      <c r="H45" s="574" t="s">
        <v>186</v>
      </c>
      <c r="I45" s="571"/>
      <c r="J45" s="571"/>
      <c r="K45" s="572"/>
      <c r="L45" s="304">
        <v>5</v>
      </c>
      <c r="M45" s="305">
        <f>IF(L45=0,"-",ROUND(L45*B45/B$83,4))</f>
        <v>0.9375</v>
      </c>
      <c r="N45" s="425" t="s">
        <v>289</v>
      </c>
    </row>
    <row r="46" spans="1:15" ht="23.25" x14ac:dyDescent="0.35">
      <c r="A46" s="309" t="s">
        <v>85</v>
      </c>
      <c r="B46" s="352"/>
      <c r="C46" s="320"/>
      <c r="D46" s="320"/>
      <c r="E46" s="320"/>
      <c r="F46" s="320"/>
      <c r="G46" s="320"/>
      <c r="H46" s="569" t="s">
        <v>196</v>
      </c>
      <c r="I46" s="573"/>
      <c r="J46" s="573"/>
      <c r="K46" s="570"/>
      <c r="L46" s="307"/>
      <c r="M46" s="308"/>
      <c r="N46" s="481" t="s">
        <v>236</v>
      </c>
    </row>
    <row r="47" spans="1:15" ht="23.25" x14ac:dyDescent="0.35">
      <c r="A47" s="309"/>
      <c r="B47" s="352"/>
      <c r="C47" s="320"/>
      <c r="D47" s="320"/>
      <c r="E47" s="320"/>
      <c r="F47" s="320"/>
      <c r="G47" s="320"/>
      <c r="H47" s="327"/>
      <c r="I47" s="327" t="s">
        <v>87</v>
      </c>
      <c r="J47" s="429">
        <v>215810000</v>
      </c>
      <c r="K47" s="570" t="s">
        <v>187</v>
      </c>
      <c r="L47" s="307"/>
      <c r="M47" s="308"/>
      <c r="N47" s="292">
        <v>3</v>
      </c>
      <c r="O47" s="431">
        <v>1</v>
      </c>
    </row>
    <row r="48" spans="1:15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188</v>
      </c>
      <c r="J48" s="430">
        <v>195140000</v>
      </c>
      <c r="K48" s="570" t="s">
        <v>187</v>
      </c>
      <c r="L48" s="307"/>
      <c r="M48" s="308"/>
      <c r="N48" s="545">
        <f>J49-84</f>
        <v>6.4221305778230828</v>
      </c>
      <c r="O48" s="431">
        <f>O47*N48/N47</f>
        <v>2.1407101926076941</v>
      </c>
    </row>
    <row r="49" spans="1:15" ht="23.25" x14ac:dyDescent="0.35">
      <c r="A49" s="309"/>
      <c r="B49" s="352"/>
      <c r="C49" s="320"/>
      <c r="D49" s="320"/>
      <c r="E49" s="320"/>
      <c r="F49" s="320"/>
      <c r="G49" s="320"/>
      <c r="H49" s="327"/>
      <c r="I49" s="323" t="s">
        <v>189</v>
      </c>
      <c r="J49" s="426">
        <f>J48*100/J47</f>
        <v>90.422130577823083</v>
      </c>
      <c r="K49" s="570" t="s">
        <v>51</v>
      </c>
      <c r="L49" s="307"/>
      <c r="M49" s="308"/>
    </row>
    <row r="50" spans="1:15" ht="23.25" x14ac:dyDescent="0.35">
      <c r="A50" s="325"/>
      <c r="B50" s="359"/>
      <c r="C50" s="310"/>
      <c r="D50" s="310"/>
      <c r="E50" s="310"/>
      <c r="F50" s="310"/>
      <c r="G50" s="310"/>
      <c r="H50" s="337"/>
      <c r="I50" s="423"/>
      <c r="J50" s="338"/>
      <c r="K50" s="424"/>
      <c r="L50" s="326"/>
      <c r="M50" s="299"/>
    </row>
    <row r="51" spans="1:15" ht="23.25" x14ac:dyDescent="0.35">
      <c r="A51" s="339" t="s">
        <v>190</v>
      </c>
      <c r="B51" s="407">
        <v>4</v>
      </c>
      <c r="C51" s="340">
        <v>0.65</v>
      </c>
      <c r="D51" s="340">
        <v>0.7</v>
      </c>
      <c r="E51" s="340">
        <v>0.75</v>
      </c>
      <c r="F51" s="340">
        <v>0.8</v>
      </c>
      <c r="G51" s="340">
        <v>0.85</v>
      </c>
      <c r="H51" s="574" t="s">
        <v>156</v>
      </c>
      <c r="I51" s="571"/>
      <c r="J51" s="571"/>
      <c r="K51" s="572"/>
      <c r="L51" s="304">
        <v>1</v>
      </c>
      <c r="M51" s="305">
        <f>IF(L51=0,"-",ROUND(L51*B51/B$83,4))</f>
        <v>6.25E-2</v>
      </c>
      <c r="N51" s="425" t="s">
        <v>337</v>
      </c>
    </row>
    <row r="52" spans="1:15" ht="23.25" x14ac:dyDescent="0.35">
      <c r="A52" s="309" t="s">
        <v>145</v>
      </c>
      <c r="B52" s="352"/>
      <c r="C52" s="320"/>
      <c r="D52" s="320"/>
      <c r="E52" s="320"/>
      <c r="F52" s="320"/>
      <c r="G52" s="320"/>
      <c r="H52" s="569" t="s">
        <v>104</v>
      </c>
      <c r="I52" s="573"/>
      <c r="J52" s="573"/>
      <c r="K52" s="570"/>
      <c r="L52" s="307"/>
      <c r="M52" s="308"/>
      <c r="N52" s="481" t="s">
        <v>236</v>
      </c>
    </row>
    <row r="53" spans="1:15" ht="23.25" x14ac:dyDescent="0.35">
      <c r="A53" s="389" t="s">
        <v>155</v>
      </c>
      <c r="B53" s="352"/>
      <c r="C53" s="320"/>
      <c r="D53" s="320"/>
      <c r="E53" s="320"/>
      <c r="F53" s="320"/>
      <c r="G53" s="320"/>
      <c r="H53" s="569" t="s">
        <v>105</v>
      </c>
      <c r="I53" s="573"/>
      <c r="J53" s="573"/>
      <c r="K53" s="570"/>
      <c r="L53" s="307"/>
      <c r="M53" s="308"/>
    </row>
    <row r="54" spans="1:15" ht="23.25" x14ac:dyDescent="0.35">
      <c r="A54" s="309"/>
      <c r="B54" s="352"/>
      <c r="C54" s="320"/>
      <c r="D54" s="320"/>
      <c r="E54" s="320"/>
      <c r="F54" s="320"/>
      <c r="G54" s="320"/>
      <c r="H54" s="341"/>
      <c r="I54" s="342" t="s">
        <v>113</v>
      </c>
      <c r="J54" s="343" t="s">
        <v>11</v>
      </c>
      <c r="K54" s="570" t="s">
        <v>51</v>
      </c>
      <c r="L54" s="307"/>
      <c r="M54" s="308"/>
    </row>
    <row r="55" spans="1:15" ht="23.25" x14ac:dyDescent="0.35">
      <c r="A55" s="325"/>
      <c r="B55" s="359"/>
      <c r="C55" s="310"/>
      <c r="D55" s="310"/>
      <c r="E55" s="310"/>
      <c r="F55" s="310"/>
      <c r="G55" s="415"/>
      <c r="H55" s="891" t="s">
        <v>211</v>
      </c>
      <c r="I55" s="892"/>
      <c r="J55" s="892"/>
      <c r="K55" s="893"/>
      <c r="L55" s="326"/>
      <c r="M55" s="299"/>
    </row>
    <row r="56" spans="1:15" ht="23.25" x14ac:dyDescent="0.35">
      <c r="A56" s="302" t="s">
        <v>106</v>
      </c>
      <c r="B56" s="407">
        <v>4</v>
      </c>
      <c r="C56" s="346" t="s">
        <v>29</v>
      </c>
      <c r="D56" s="346" t="s">
        <v>30</v>
      </c>
      <c r="E56" s="346" t="s">
        <v>31</v>
      </c>
      <c r="F56" s="346" t="s">
        <v>32</v>
      </c>
      <c r="G56" s="346" t="s">
        <v>33</v>
      </c>
      <c r="H56" s="574" t="s">
        <v>108</v>
      </c>
      <c r="I56" s="571"/>
      <c r="J56" s="571"/>
      <c r="K56" s="572"/>
      <c r="L56" s="304">
        <v>2</v>
      </c>
      <c r="M56" s="305">
        <f>IF(L56=0,"-",ROUND(L56*B56/B$83,4))</f>
        <v>0.125</v>
      </c>
      <c r="N56" s="425" t="s">
        <v>332</v>
      </c>
    </row>
    <row r="57" spans="1:15" ht="23.25" x14ac:dyDescent="0.35">
      <c r="A57" s="309" t="s">
        <v>107</v>
      </c>
      <c r="B57" s="352"/>
      <c r="C57" s="348">
        <v>1.5</v>
      </c>
      <c r="D57" s="348">
        <v>2</v>
      </c>
      <c r="E57" s="348">
        <v>2.5</v>
      </c>
      <c r="F57" s="348">
        <v>3</v>
      </c>
      <c r="G57" s="348">
        <v>5</v>
      </c>
      <c r="H57" s="569" t="s">
        <v>146</v>
      </c>
      <c r="I57" s="573"/>
      <c r="J57" s="573"/>
      <c r="K57" s="570"/>
      <c r="L57" s="307"/>
      <c r="M57" s="308"/>
      <c r="N57" s="481" t="s">
        <v>236</v>
      </c>
    </row>
    <row r="58" spans="1:15" ht="23.25" x14ac:dyDescent="0.35">
      <c r="A58" s="309"/>
      <c r="B58" s="352"/>
      <c r="C58" s="344"/>
      <c r="D58" s="344"/>
      <c r="E58" s="344"/>
      <c r="F58" s="344"/>
      <c r="G58" s="344"/>
      <c r="H58" s="569" t="s">
        <v>110</v>
      </c>
      <c r="I58" s="573"/>
      <c r="J58" s="573"/>
      <c r="K58" s="570"/>
      <c r="L58" s="307"/>
      <c r="M58" s="308"/>
    </row>
    <row r="59" spans="1:15" ht="23.25" x14ac:dyDescent="0.35">
      <c r="A59" s="309"/>
      <c r="B59" s="352"/>
      <c r="C59" s="344"/>
      <c r="D59" s="344"/>
      <c r="E59" s="344"/>
      <c r="F59" s="344"/>
      <c r="G59" s="344"/>
      <c r="H59" s="569" t="s">
        <v>191</v>
      </c>
      <c r="I59" s="573"/>
      <c r="J59" s="573"/>
      <c r="K59" s="570"/>
      <c r="L59" s="307"/>
      <c r="M59" s="308"/>
    </row>
    <row r="60" spans="1:15" ht="23.25" x14ac:dyDescent="0.35">
      <c r="A60" s="309"/>
      <c r="B60" s="352"/>
      <c r="C60" s="344"/>
      <c r="D60" s="344"/>
      <c r="E60" s="344"/>
      <c r="F60" s="344"/>
      <c r="G60" s="344"/>
      <c r="H60" s="569"/>
      <c r="I60" s="323" t="s">
        <v>112</v>
      </c>
      <c r="J60" s="324">
        <v>2</v>
      </c>
      <c r="K60" s="382"/>
      <c r="L60" s="307"/>
      <c r="M60" s="308"/>
    </row>
    <row r="61" spans="1:15" ht="23.25" x14ac:dyDescent="0.35">
      <c r="A61" s="325"/>
      <c r="B61" s="359"/>
      <c r="C61" s="310"/>
      <c r="D61" s="310"/>
      <c r="E61" s="310"/>
      <c r="F61" s="310"/>
      <c r="G61" s="310"/>
      <c r="H61" s="891"/>
      <c r="I61" s="892"/>
      <c r="J61" s="892"/>
      <c r="K61" s="893"/>
      <c r="L61" s="326"/>
      <c r="M61" s="299"/>
    </row>
    <row r="62" spans="1:15" ht="23.25" x14ac:dyDescent="0.35">
      <c r="A62" s="350" t="s">
        <v>132</v>
      </c>
      <c r="B62" s="407">
        <v>4</v>
      </c>
      <c r="C62" s="340">
        <v>0.1</v>
      </c>
      <c r="D62" s="340">
        <v>0.3</v>
      </c>
      <c r="E62" s="340">
        <v>0.5</v>
      </c>
      <c r="F62" s="340">
        <v>0.7</v>
      </c>
      <c r="G62" s="340">
        <v>1</v>
      </c>
      <c r="H62" s="574" t="s">
        <v>123</v>
      </c>
      <c r="I62" s="571"/>
      <c r="J62" s="571"/>
      <c r="K62" s="572"/>
      <c r="L62" s="304">
        <f>4+O65</f>
        <v>5</v>
      </c>
      <c r="M62" s="305">
        <f>IF(L62=0,"-",ROUND(L62*B62/B$83,4))</f>
        <v>0.3125</v>
      </c>
      <c r="N62" s="425" t="s">
        <v>202</v>
      </c>
    </row>
    <row r="63" spans="1:15" ht="23.25" x14ac:dyDescent="0.35">
      <c r="A63" s="351" t="s">
        <v>192</v>
      </c>
      <c r="B63" s="352"/>
      <c r="C63" s="320"/>
      <c r="D63" s="320"/>
      <c r="E63" s="320"/>
      <c r="F63" s="320"/>
      <c r="G63" s="311"/>
      <c r="H63" s="569" t="s">
        <v>124</v>
      </c>
      <c r="I63" s="322"/>
      <c r="J63" s="353"/>
      <c r="K63" s="354"/>
      <c r="L63" s="355"/>
      <c r="M63" s="308"/>
      <c r="N63" s="481" t="s">
        <v>213</v>
      </c>
    </row>
    <row r="64" spans="1:15" ht="23.25" x14ac:dyDescent="0.35">
      <c r="A64" s="351"/>
      <c r="B64" s="352"/>
      <c r="C64" s="320"/>
      <c r="D64" s="320"/>
      <c r="E64" s="320"/>
      <c r="F64" s="320"/>
      <c r="G64" s="320"/>
      <c r="H64" s="573" t="s">
        <v>125</v>
      </c>
      <c r="I64" s="322"/>
      <c r="J64" s="353"/>
      <c r="K64" s="354"/>
      <c r="L64" s="355"/>
      <c r="M64" s="308"/>
      <c r="N64" s="292">
        <v>30</v>
      </c>
      <c r="O64" s="431">
        <v>1</v>
      </c>
    </row>
    <row r="65" spans="1:15" ht="23.25" x14ac:dyDescent="0.35">
      <c r="A65" s="351"/>
      <c r="B65" s="352"/>
      <c r="C65" s="320"/>
      <c r="D65" s="320"/>
      <c r="E65" s="320"/>
      <c r="F65" s="320"/>
      <c r="G65" s="320"/>
      <c r="H65" s="569" t="s">
        <v>126</v>
      </c>
      <c r="I65" s="322"/>
      <c r="J65" s="353"/>
      <c r="K65" s="354"/>
      <c r="L65" s="355"/>
      <c r="M65" s="308"/>
      <c r="N65" s="540">
        <f>J67-70</f>
        <v>30</v>
      </c>
      <c r="O65" s="431">
        <f>N65*O64/N64</f>
        <v>1</v>
      </c>
    </row>
    <row r="66" spans="1:15" ht="23.25" x14ac:dyDescent="0.35">
      <c r="A66" s="351"/>
      <c r="B66" s="352"/>
      <c r="C66" s="320"/>
      <c r="D66" s="320"/>
      <c r="E66" s="320"/>
      <c r="F66" s="320"/>
      <c r="G66" s="320"/>
      <c r="H66" s="569" t="s">
        <v>127</v>
      </c>
      <c r="I66" s="322"/>
      <c r="J66" s="353"/>
      <c r="K66" s="354"/>
      <c r="L66" s="355"/>
      <c r="M66" s="308"/>
    </row>
    <row r="67" spans="1:15" ht="23.25" x14ac:dyDescent="0.35">
      <c r="A67" s="351"/>
      <c r="B67" s="352"/>
      <c r="C67" s="320"/>
      <c r="D67" s="320"/>
      <c r="E67" s="320"/>
      <c r="F67" s="320"/>
      <c r="G67" s="320"/>
      <c r="H67" s="569"/>
      <c r="I67" s="323" t="s">
        <v>114</v>
      </c>
      <c r="J67" s="408">
        <f>สพญ.!S99</f>
        <v>100</v>
      </c>
      <c r="K67" s="382" t="s">
        <v>51</v>
      </c>
      <c r="L67" s="355"/>
      <c r="M67" s="308"/>
    </row>
    <row r="68" spans="1:15" ht="23.25" x14ac:dyDescent="0.35">
      <c r="A68" s="358"/>
      <c r="B68" s="359"/>
      <c r="C68" s="310"/>
      <c r="D68" s="310"/>
      <c r="E68" s="310"/>
      <c r="F68" s="310"/>
      <c r="G68" s="310"/>
      <c r="H68" s="330"/>
      <c r="I68" s="423"/>
      <c r="J68" s="423"/>
      <c r="K68" s="424"/>
      <c r="L68" s="360"/>
      <c r="M68" s="299"/>
    </row>
    <row r="69" spans="1:15" ht="23.25" x14ac:dyDescent="0.35">
      <c r="A69" s="302" t="s">
        <v>115</v>
      </c>
      <c r="B69" s="407">
        <v>4</v>
      </c>
      <c r="C69" s="361">
        <v>0.8</v>
      </c>
      <c r="D69" s="361">
        <v>0.85</v>
      </c>
      <c r="E69" s="361">
        <v>0.9</v>
      </c>
      <c r="F69" s="361">
        <v>0.95</v>
      </c>
      <c r="G69" s="361">
        <v>1</v>
      </c>
      <c r="H69" s="574" t="s">
        <v>157</v>
      </c>
      <c r="I69" s="571"/>
      <c r="J69" s="571"/>
      <c r="K69" s="572"/>
      <c r="L69" s="304">
        <v>5</v>
      </c>
      <c r="M69" s="305">
        <f>IF(L69=0,"-",ROUND(L69*B69/B$83,4))</f>
        <v>0.3125</v>
      </c>
      <c r="N69" s="425" t="s">
        <v>347</v>
      </c>
    </row>
    <row r="70" spans="1:15" ht="23.25" x14ac:dyDescent="0.35">
      <c r="A70" s="309" t="s">
        <v>116</v>
      </c>
      <c r="B70" s="352"/>
      <c r="C70" s="348"/>
      <c r="D70" s="348"/>
      <c r="E70" s="348"/>
      <c r="F70" s="348"/>
      <c r="G70" s="348"/>
      <c r="H70" s="569" t="s">
        <v>158</v>
      </c>
      <c r="I70" s="573"/>
      <c r="J70" s="573"/>
      <c r="K70" s="570"/>
      <c r="L70" s="362"/>
      <c r="M70" s="308"/>
      <c r="N70" s="481" t="s">
        <v>236</v>
      </c>
    </row>
    <row r="71" spans="1:15" ht="23.25" x14ac:dyDescent="0.35">
      <c r="A71" s="309" t="s">
        <v>193</v>
      </c>
      <c r="B71" s="352"/>
      <c r="C71" s="320"/>
      <c r="D71" s="320"/>
      <c r="E71" s="320"/>
      <c r="F71" s="320"/>
      <c r="G71" s="320"/>
      <c r="H71" s="569" t="s">
        <v>197</v>
      </c>
      <c r="I71" s="573"/>
      <c r="J71" s="573"/>
      <c r="K71" s="570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69" t="s">
        <v>120</v>
      </c>
      <c r="I72" s="573"/>
      <c r="J72" s="573"/>
      <c r="K72" s="570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20"/>
      <c r="H73" s="569" t="s">
        <v>194</v>
      </c>
      <c r="I73" s="573"/>
      <c r="J73" s="573"/>
      <c r="K73" s="570"/>
      <c r="L73" s="362"/>
      <c r="M73" s="308"/>
    </row>
    <row r="74" spans="1:15" ht="23.25" x14ac:dyDescent="0.35">
      <c r="A74" s="309"/>
      <c r="B74" s="352"/>
      <c r="C74" s="320"/>
      <c r="D74" s="320"/>
      <c r="E74" s="320"/>
      <c r="F74" s="320"/>
      <c r="G74" s="344"/>
      <c r="H74" s="569" t="s">
        <v>195</v>
      </c>
      <c r="I74" s="345"/>
      <c r="J74" s="408">
        <v>100</v>
      </c>
      <c r="K74" s="413" t="s">
        <v>51</v>
      </c>
      <c r="L74" s="412"/>
      <c r="M74" s="308"/>
    </row>
    <row r="75" spans="1:15" ht="23.25" x14ac:dyDescent="0.35">
      <c r="A75" s="358"/>
      <c r="B75" s="414"/>
      <c r="C75" s="411"/>
      <c r="D75" s="411"/>
      <c r="E75" s="411"/>
      <c r="F75" s="411"/>
      <c r="G75" s="329"/>
      <c r="H75" s="576"/>
      <c r="I75" s="582"/>
      <c r="J75" s="583"/>
      <c r="K75" s="584"/>
      <c r="L75" s="416"/>
      <c r="M75" s="308"/>
    </row>
    <row r="76" spans="1:15" ht="23.25" x14ac:dyDescent="0.35">
      <c r="A76" s="351" t="s">
        <v>324</v>
      </c>
      <c r="B76" s="585">
        <v>4</v>
      </c>
      <c r="C76" s="586">
        <v>0.4</v>
      </c>
      <c r="D76" s="586">
        <v>0.45</v>
      </c>
      <c r="E76" s="586">
        <v>0.5</v>
      </c>
      <c r="F76" s="586">
        <v>0.55000000000000004</v>
      </c>
      <c r="G76" s="586">
        <v>0.6</v>
      </c>
      <c r="H76" s="569" t="s">
        <v>325</v>
      </c>
      <c r="I76" s="345"/>
      <c r="J76" s="587"/>
      <c r="K76" s="588"/>
      <c r="L76" s="355">
        <v>4</v>
      </c>
      <c r="M76" s="305">
        <f>IF(L76=0,"-",ROUND(L76*B76/B$83,4))</f>
        <v>0.25</v>
      </c>
      <c r="N76" s="425" t="s">
        <v>332</v>
      </c>
    </row>
    <row r="77" spans="1:15" ht="23.25" x14ac:dyDescent="0.35">
      <c r="A77" s="351" t="s">
        <v>326</v>
      </c>
      <c r="B77" s="406"/>
      <c r="C77" s="311"/>
      <c r="D77" s="311"/>
      <c r="E77" s="311"/>
      <c r="F77" s="311"/>
      <c r="G77" s="333"/>
      <c r="H77" s="569" t="s">
        <v>327</v>
      </c>
      <c r="I77" s="345"/>
      <c r="J77" s="587"/>
      <c r="K77" s="588"/>
      <c r="L77" s="412"/>
      <c r="M77" s="308"/>
      <c r="N77" s="481" t="s">
        <v>236</v>
      </c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69"/>
      <c r="I78" s="345"/>
      <c r="J78" s="587"/>
      <c r="K78" s="588"/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69"/>
      <c r="I79" s="345" t="s">
        <v>174</v>
      </c>
      <c r="J79" s="589">
        <v>55</v>
      </c>
      <c r="K79" s="413" t="s">
        <v>51</v>
      </c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1"/>
      <c r="B81" s="406"/>
      <c r="C81" s="311"/>
      <c r="D81" s="311"/>
      <c r="E81" s="311"/>
      <c r="F81" s="311"/>
      <c r="G81" s="333"/>
      <c r="H81" s="569"/>
      <c r="I81" s="345"/>
      <c r="J81" s="587"/>
      <c r="K81" s="588"/>
      <c r="L81" s="412"/>
      <c r="M81" s="308"/>
    </row>
    <row r="82" spans="1:13" ht="23.25" x14ac:dyDescent="0.35">
      <c r="A82" s="358"/>
      <c r="B82" s="414"/>
      <c r="C82" s="411"/>
      <c r="D82" s="411"/>
      <c r="E82" s="411"/>
      <c r="F82" s="411"/>
      <c r="G82" s="415"/>
      <c r="H82" s="576"/>
      <c r="I82" s="345"/>
      <c r="J82" s="587"/>
      <c r="K82" s="584"/>
      <c r="L82" s="412"/>
      <c r="M82" s="308"/>
    </row>
    <row r="83" spans="1:13" ht="26.25" x14ac:dyDescent="0.4">
      <c r="A83" s="363"/>
      <c r="B83" s="409">
        <f>ROUND(SUM(B6:B82),1)</f>
        <v>64</v>
      </c>
      <c r="C83" s="364"/>
      <c r="D83" s="364"/>
      <c r="E83" s="364"/>
      <c r="F83" s="364"/>
      <c r="G83" s="365"/>
      <c r="H83" s="364"/>
      <c r="I83" s="364"/>
      <c r="J83" s="364"/>
      <c r="K83" s="364"/>
      <c r="L83" s="366" t="s">
        <v>139</v>
      </c>
      <c r="M83" s="410">
        <f>(SUM(M6:M82))</f>
        <v>3.6025999999999998</v>
      </c>
    </row>
  </sheetData>
  <mergeCells count="17">
    <mergeCell ref="H14:K14"/>
    <mergeCell ref="H15:K15"/>
    <mergeCell ref="H20:K20"/>
    <mergeCell ref="H55:K55"/>
    <mergeCell ref="H61:K61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1" max="12" man="1"/>
    <brk id="55" max="12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activeCell="J37" sqref="J37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73.5703125" style="292" bestFit="1" customWidth="1"/>
    <col min="16" max="16" width="12.5703125" style="292" bestFit="1" customWidth="1"/>
    <col min="17" max="17" width="15.28515625" style="292" bestFit="1" customWidth="1"/>
    <col min="18" max="18" width="11.7109375" style="292" bestFit="1" customWidth="1"/>
    <col min="19" max="19" width="9.140625" style="292"/>
    <col min="20" max="21" width="9.85546875" style="292" bestFit="1" customWidth="1"/>
    <col min="22" max="16384" width="9.140625" style="292"/>
  </cols>
  <sheetData>
    <row r="1" spans="1:28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28" ht="24" customHeight="1" x14ac:dyDescent="0.4">
      <c r="A2" s="897" t="s">
        <v>406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28" ht="24" customHeight="1" x14ac:dyDescent="0.35">
      <c r="A3" s="293" t="s">
        <v>399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28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28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16"/>
      <c r="I5" s="917"/>
      <c r="J5" s="917"/>
      <c r="K5" s="918"/>
      <c r="L5" s="906"/>
      <c r="M5" s="301" t="s">
        <v>9</v>
      </c>
    </row>
    <row r="6" spans="1:28" ht="24" customHeight="1" x14ac:dyDescent="0.35">
      <c r="A6" s="302" t="s">
        <v>165</v>
      </c>
      <c r="B6" s="391">
        <v>12</v>
      </c>
      <c r="C6" s="313">
        <v>3226</v>
      </c>
      <c r="D6" s="313">
        <v>3318</v>
      </c>
      <c r="E6" s="313">
        <v>3412</v>
      </c>
      <c r="F6" s="313">
        <v>3505</v>
      </c>
      <c r="G6" s="313">
        <v>3598</v>
      </c>
      <c r="H6" s="909" t="s">
        <v>14</v>
      </c>
      <c r="I6" s="910"/>
      <c r="J6" s="912" t="s">
        <v>15</v>
      </c>
      <c r="K6" s="912"/>
      <c r="L6" s="304">
        <v>5</v>
      </c>
      <c r="M6" s="305">
        <f>IF(L6=0,"-",ROUND(L6*B6/B$82,4))</f>
        <v>0.83330000000000004</v>
      </c>
      <c r="N6" s="425" t="s">
        <v>332</v>
      </c>
      <c r="Q6" s="545"/>
      <c r="S6" s="356"/>
      <c r="T6" s="356"/>
      <c r="U6" s="356"/>
      <c r="V6" s="356"/>
      <c r="W6" s="356"/>
      <c r="X6" s="356"/>
      <c r="Y6" s="356"/>
      <c r="Z6" s="356"/>
      <c r="AA6" s="356"/>
      <c r="AB6" s="356"/>
    </row>
    <row r="7" spans="1:28" ht="24" customHeight="1" x14ac:dyDescent="0.35">
      <c r="A7" s="309" t="s">
        <v>166</v>
      </c>
      <c r="B7" s="399"/>
      <c r="C7" s="316" t="s">
        <v>38</v>
      </c>
      <c r="D7" s="316" t="s">
        <v>38</v>
      </c>
      <c r="E7" s="316" t="s">
        <v>39</v>
      </c>
      <c r="F7" s="316" t="s">
        <v>38</v>
      </c>
      <c r="G7" s="316" t="s">
        <v>38</v>
      </c>
      <c r="H7" s="911"/>
      <c r="I7" s="878"/>
      <c r="J7" s="568" t="s">
        <v>17</v>
      </c>
      <c r="K7" s="367" t="s">
        <v>18</v>
      </c>
      <c r="L7" s="307"/>
      <c r="M7" s="308"/>
      <c r="N7" s="425" t="s">
        <v>236</v>
      </c>
      <c r="O7" s="431"/>
      <c r="Q7" s="545"/>
      <c r="R7" s="545"/>
      <c r="S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ht="24" customHeight="1" x14ac:dyDescent="0.35">
      <c r="A8" s="309"/>
      <c r="B8" s="399"/>
      <c r="C8" s="320"/>
      <c r="D8" s="320"/>
      <c r="E8" s="320"/>
      <c r="F8" s="320"/>
      <c r="G8" s="320"/>
      <c r="H8" s="574" t="s">
        <v>380</v>
      </c>
      <c r="I8" s="572"/>
      <c r="J8" s="398">
        <v>3800</v>
      </c>
      <c r="K8" s="491">
        <v>3800</v>
      </c>
      <c r="L8" s="307"/>
      <c r="M8" s="308"/>
      <c r="O8" s="431"/>
      <c r="Q8" s="545"/>
    </row>
    <row r="9" spans="1:28" ht="23.25" x14ac:dyDescent="0.35">
      <c r="A9" s="309"/>
      <c r="B9" s="399"/>
      <c r="C9" s="320"/>
      <c r="D9" s="320"/>
      <c r="E9" s="320"/>
      <c r="F9" s="320"/>
      <c r="G9" s="320"/>
      <c r="H9" s="880" t="s">
        <v>381</v>
      </c>
      <c r="I9" s="881"/>
      <c r="J9" s="400"/>
      <c r="K9" s="368"/>
      <c r="L9" s="307"/>
      <c r="M9" s="308"/>
      <c r="O9" s="431"/>
      <c r="Q9" s="545"/>
    </row>
    <row r="10" spans="1:28" ht="24" thickBot="1" x14ac:dyDescent="0.4">
      <c r="A10" s="309"/>
      <c r="B10" s="399"/>
      <c r="C10" s="320"/>
      <c r="D10" s="320"/>
      <c r="E10" s="320"/>
      <c r="F10" s="320"/>
      <c r="G10" s="320"/>
      <c r="H10" s="888" t="s">
        <v>20</v>
      </c>
      <c r="I10" s="888"/>
      <c r="J10" s="401">
        <f>SUM(J8:J9)</f>
        <v>3800</v>
      </c>
      <c r="K10" s="428">
        <v>3800</v>
      </c>
      <c r="L10" s="307"/>
      <c r="M10" s="308"/>
      <c r="O10" s="431"/>
      <c r="Q10" s="545"/>
    </row>
    <row r="11" spans="1:28" ht="24" thickTop="1" x14ac:dyDescent="0.35">
      <c r="A11" s="302" t="s">
        <v>169</v>
      </c>
      <c r="B11" s="391">
        <v>4</v>
      </c>
      <c r="C11" s="303">
        <v>0.65</v>
      </c>
      <c r="D11" s="303">
        <v>0.7</v>
      </c>
      <c r="E11" s="303">
        <v>0.75</v>
      </c>
      <c r="F11" s="303">
        <v>0.8</v>
      </c>
      <c r="G11" s="303">
        <v>0.85</v>
      </c>
      <c r="H11" s="894" t="s">
        <v>141</v>
      </c>
      <c r="I11" s="895"/>
      <c r="J11" s="895"/>
      <c r="K11" s="896"/>
      <c r="L11" s="304">
        <v>4.8018999999999998</v>
      </c>
      <c r="M11" s="305">
        <f>IF(L11=0,"-",ROUND(L11*B11/B$82,4))</f>
        <v>0.26679999999999998</v>
      </c>
      <c r="N11" s="425" t="s">
        <v>357</v>
      </c>
      <c r="O11" s="431"/>
      <c r="Q11" s="545"/>
    </row>
    <row r="12" spans="1:28" ht="23.25" x14ac:dyDescent="0.35">
      <c r="A12" s="309" t="s">
        <v>44</v>
      </c>
      <c r="B12" s="399"/>
      <c r="C12" s="320"/>
      <c r="D12" s="320"/>
      <c r="E12" s="320"/>
      <c r="F12" s="320"/>
      <c r="G12" s="320"/>
      <c r="H12" s="880" t="s">
        <v>142</v>
      </c>
      <c r="I12" s="887"/>
      <c r="J12" s="887"/>
      <c r="K12" s="881"/>
      <c r="L12" s="307"/>
      <c r="M12" s="308"/>
      <c r="N12" s="425" t="s">
        <v>236</v>
      </c>
    </row>
    <row r="13" spans="1:28" ht="23.25" x14ac:dyDescent="0.35">
      <c r="A13" s="309"/>
      <c r="B13" s="399"/>
      <c r="C13" s="320"/>
      <c r="D13" s="320"/>
      <c r="E13" s="320"/>
      <c r="F13" s="320"/>
      <c r="G13" s="320"/>
      <c r="H13" s="880" t="s">
        <v>143</v>
      </c>
      <c r="I13" s="887"/>
      <c r="J13" s="887"/>
      <c r="K13" s="881"/>
      <c r="L13" s="307"/>
      <c r="M13" s="308"/>
    </row>
    <row r="14" spans="1:28" ht="23.25" x14ac:dyDescent="0.35">
      <c r="A14" s="309"/>
      <c r="B14" s="399"/>
      <c r="C14" s="320"/>
      <c r="D14" s="320"/>
      <c r="E14" s="320"/>
      <c r="F14" s="320"/>
      <c r="G14" s="320"/>
      <c r="H14" s="880" t="s">
        <v>144</v>
      </c>
      <c r="I14" s="887"/>
      <c r="J14" s="887"/>
      <c r="K14" s="881"/>
      <c r="L14" s="307"/>
      <c r="M14" s="308"/>
    </row>
    <row r="15" spans="1:28" ht="23.25" x14ac:dyDescent="0.35">
      <c r="A15" s="309"/>
      <c r="B15" s="399"/>
      <c r="C15" s="320"/>
      <c r="D15" s="320"/>
      <c r="E15" s="320"/>
      <c r="F15" s="320"/>
      <c r="G15" s="320"/>
      <c r="H15" s="880" t="s">
        <v>170</v>
      </c>
      <c r="I15" s="887"/>
      <c r="J15" s="887"/>
      <c r="K15" s="881"/>
      <c r="L15" s="307"/>
      <c r="M15" s="308"/>
    </row>
    <row r="16" spans="1:28" ht="23.25" x14ac:dyDescent="0.35">
      <c r="A16" s="309"/>
      <c r="B16" s="399"/>
      <c r="C16" s="320"/>
      <c r="D16" s="320"/>
      <c r="E16" s="320"/>
      <c r="F16" s="320"/>
      <c r="G16" s="320"/>
      <c r="I16" s="323" t="s">
        <v>54</v>
      </c>
      <c r="J16" s="324">
        <v>84.01</v>
      </c>
      <c r="K16" s="570" t="s">
        <v>51</v>
      </c>
      <c r="L16" s="307"/>
      <c r="M16" s="308"/>
    </row>
    <row r="17" spans="1:23" ht="23.25" x14ac:dyDescent="0.35">
      <c r="A17" s="325"/>
      <c r="B17" s="402"/>
      <c r="C17" s="310"/>
      <c r="D17" s="310"/>
      <c r="E17" s="310"/>
      <c r="F17" s="310"/>
      <c r="G17" s="310"/>
      <c r="H17" s="891" t="s">
        <v>316</v>
      </c>
      <c r="I17" s="892"/>
      <c r="J17" s="892"/>
      <c r="K17" s="893"/>
      <c r="L17" s="326"/>
      <c r="M17" s="299"/>
      <c r="Q17" s="568" t="s">
        <v>320</v>
      </c>
      <c r="R17" s="568" t="s">
        <v>238</v>
      </c>
    </row>
    <row r="18" spans="1:23" ht="23.25" x14ac:dyDescent="0.35">
      <c r="A18" s="302" t="s">
        <v>53</v>
      </c>
      <c r="B18" s="403">
        <v>12</v>
      </c>
      <c r="C18" s="303">
        <v>0.6</v>
      </c>
      <c r="D18" s="303">
        <v>0.7</v>
      </c>
      <c r="E18" s="303">
        <v>0.8</v>
      </c>
      <c r="F18" s="303">
        <v>0.9</v>
      </c>
      <c r="G18" s="303">
        <v>1</v>
      </c>
      <c r="H18" s="895" t="s">
        <v>171</v>
      </c>
      <c r="I18" s="895"/>
      <c r="J18" s="895"/>
      <c r="K18" s="896"/>
      <c r="L18" s="304">
        <f>2+O22</f>
        <v>2.4280726775176888</v>
      </c>
      <c r="M18" s="305">
        <f>IF(L18=0,"-",ROUND(L18*B18/B$82,4))</f>
        <v>0.4047</v>
      </c>
      <c r="N18" s="425" t="s">
        <v>199</v>
      </c>
      <c r="O18" s="292" t="s">
        <v>382</v>
      </c>
      <c r="Q18" s="453">
        <v>85676200</v>
      </c>
      <c r="R18" s="634">
        <v>82.224999999999994</v>
      </c>
    </row>
    <row r="19" spans="1:23" ht="23.25" x14ac:dyDescent="0.35">
      <c r="A19" s="309" t="s">
        <v>21</v>
      </c>
      <c r="B19" s="352"/>
      <c r="C19" s="320"/>
      <c r="D19" s="320"/>
      <c r="E19" s="320"/>
      <c r="F19" s="320"/>
      <c r="G19" s="320"/>
      <c r="H19" s="880" t="s">
        <v>83</v>
      </c>
      <c r="I19" s="887"/>
      <c r="J19" s="887"/>
      <c r="K19" s="881"/>
      <c r="L19" s="307"/>
      <c r="M19" s="308"/>
      <c r="N19" s="425" t="s">
        <v>236</v>
      </c>
      <c r="O19" s="292" t="s">
        <v>383</v>
      </c>
      <c r="Q19" s="453">
        <v>14660908</v>
      </c>
      <c r="R19" s="634">
        <v>100</v>
      </c>
    </row>
    <row r="20" spans="1:23" ht="23.25" x14ac:dyDescent="0.35">
      <c r="A20" s="309"/>
      <c r="B20" s="352"/>
      <c r="C20" s="320"/>
      <c r="D20" s="320"/>
      <c r="E20" s="320"/>
      <c r="F20" s="320"/>
      <c r="G20" s="320"/>
      <c r="H20" s="880" t="s">
        <v>172</v>
      </c>
      <c r="I20" s="887"/>
      <c r="J20" s="887"/>
      <c r="K20" s="881"/>
      <c r="L20" s="307"/>
      <c r="M20" s="308"/>
      <c r="O20" s="292" t="s">
        <v>384</v>
      </c>
      <c r="Q20" s="453">
        <v>6825000</v>
      </c>
      <c r="R20" s="634">
        <v>76.319999999999993</v>
      </c>
    </row>
    <row r="21" spans="1:23" ht="23.25" x14ac:dyDescent="0.35">
      <c r="A21" s="309"/>
      <c r="B21" s="352"/>
      <c r="C21" s="320"/>
      <c r="D21" s="320"/>
      <c r="E21" s="320"/>
      <c r="F21" s="320"/>
      <c r="G21" s="320"/>
      <c r="H21" s="380" t="s">
        <v>173</v>
      </c>
      <c r="I21" s="323"/>
      <c r="J21" s="328"/>
      <c r="K21" s="570"/>
      <c r="L21" s="307"/>
      <c r="M21" s="308"/>
      <c r="N21" s="292">
        <v>10</v>
      </c>
      <c r="O21" s="431">
        <v>1</v>
      </c>
      <c r="P21" s="292" t="s">
        <v>344</v>
      </c>
      <c r="Q21" s="545">
        <f>SUM(Q18:Q20)</f>
        <v>107162108</v>
      </c>
      <c r="R21" s="545"/>
    </row>
    <row r="22" spans="1:23" ht="23.25" x14ac:dyDescent="0.35">
      <c r="A22" s="309"/>
      <c r="B22" s="352"/>
      <c r="C22" s="320"/>
      <c r="D22" s="320"/>
      <c r="E22" s="320"/>
      <c r="F22" s="320"/>
      <c r="G22" s="320"/>
      <c r="H22" s="380"/>
      <c r="I22" s="323"/>
      <c r="J22" s="328"/>
      <c r="K22" s="570"/>
      <c r="L22" s="307"/>
      <c r="M22" s="308"/>
      <c r="N22" s="540">
        <f>J23-80</f>
        <v>4.2807267751768876</v>
      </c>
      <c r="O22" s="431">
        <f>O21*N22/N21</f>
        <v>0.42807267751768874</v>
      </c>
      <c r="Q22" s="479">
        <f>((Q18*R18)+(Q19*R19)+(Q20*R20))/Q21</f>
        <v>84.280726775176888</v>
      </c>
      <c r="R22" s="292" t="s">
        <v>51</v>
      </c>
    </row>
    <row r="23" spans="1:23" ht="23.25" x14ac:dyDescent="0.35">
      <c r="A23" s="309"/>
      <c r="B23" s="352"/>
      <c r="C23" s="320"/>
      <c r="D23" s="320"/>
      <c r="E23" s="320"/>
      <c r="F23" s="320"/>
      <c r="G23" s="320"/>
      <c r="H23" s="380"/>
      <c r="I23" s="323" t="s">
        <v>174</v>
      </c>
      <c r="J23" s="614">
        <f>Q22</f>
        <v>84.280726775176888</v>
      </c>
      <c r="K23" s="570" t="s">
        <v>51</v>
      </c>
      <c r="L23" s="307"/>
      <c r="M23" s="308"/>
    </row>
    <row r="24" spans="1:23" ht="23.25" x14ac:dyDescent="0.35">
      <c r="A24" s="325"/>
      <c r="B24" s="359"/>
      <c r="C24" s="310"/>
      <c r="D24" s="310"/>
      <c r="E24" s="310"/>
      <c r="F24" s="310"/>
      <c r="G24" s="310"/>
      <c r="H24" s="329"/>
      <c r="I24" s="330"/>
      <c r="J24" s="404"/>
      <c r="K24" s="331"/>
      <c r="L24" s="326"/>
      <c r="M24" s="299"/>
      <c r="P24" s="568" t="s">
        <v>320</v>
      </c>
      <c r="Q24" s="568" t="s">
        <v>330</v>
      </c>
      <c r="R24" s="568" t="s">
        <v>238</v>
      </c>
    </row>
    <row r="25" spans="1:23" ht="25.5" x14ac:dyDescent="0.5">
      <c r="A25" s="302" t="s">
        <v>179</v>
      </c>
      <c r="B25" s="403">
        <v>4</v>
      </c>
      <c r="C25" s="332">
        <v>0.5</v>
      </c>
      <c r="D25" s="332">
        <v>0.75</v>
      </c>
      <c r="E25" s="332">
        <v>1</v>
      </c>
      <c r="F25" s="332">
        <v>1</v>
      </c>
      <c r="G25" s="332">
        <v>1</v>
      </c>
      <c r="H25" s="894" t="s">
        <v>57</v>
      </c>
      <c r="I25" s="895"/>
      <c r="J25" s="895"/>
      <c r="K25" s="896"/>
      <c r="L25" s="304">
        <f>2+U26</f>
        <v>2.2282516444444447</v>
      </c>
      <c r="M25" s="305">
        <f>IF(L25=0,"-",ROUND(L25*B25/B$82,4))</f>
        <v>0.12379999999999999</v>
      </c>
      <c r="N25" s="482">
        <v>13</v>
      </c>
      <c r="O25" s="653" t="s">
        <v>283</v>
      </c>
      <c r="P25" s="462">
        <v>350000</v>
      </c>
      <c r="Q25" s="469">
        <v>298566.59999999998</v>
      </c>
      <c r="R25" s="432">
        <f t="shared" ref="R25:R29" si="0">Q25*100/P25</f>
        <v>85.304742857142841</v>
      </c>
      <c r="S25" s="292" t="s">
        <v>51</v>
      </c>
      <c r="T25" s="496">
        <v>25</v>
      </c>
      <c r="U25" s="617">
        <v>1</v>
      </c>
      <c r="V25" s="441"/>
      <c r="W25" s="441"/>
    </row>
    <row r="26" spans="1:23" ht="25.5" x14ac:dyDescent="0.5">
      <c r="A26" s="309" t="s">
        <v>23</v>
      </c>
      <c r="B26" s="352"/>
      <c r="C26" s="320"/>
      <c r="D26" s="320"/>
      <c r="E26" s="320"/>
      <c r="F26" s="335" t="s">
        <v>70</v>
      </c>
      <c r="G26" s="335" t="s">
        <v>70</v>
      </c>
      <c r="H26" s="569" t="s">
        <v>58</v>
      </c>
      <c r="I26" s="573"/>
      <c r="J26" s="573"/>
      <c r="K26" s="570"/>
      <c r="L26" s="307"/>
      <c r="M26" s="308"/>
      <c r="N26" s="485"/>
      <c r="O26" s="463" t="s">
        <v>284</v>
      </c>
      <c r="P26" s="464">
        <v>350000</v>
      </c>
      <c r="Q26" s="470">
        <v>255399.9</v>
      </c>
      <c r="R26" s="432">
        <f t="shared" si="0"/>
        <v>72.971400000000003</v>
      </c>
      <c r="S26" s="292" t="s">
        <v>51</v>
      </c>
      <c r="T26" s="496">
        <f>Q31-75</f>
        <v>5.7062911111111134</v>
      </c>
      <c r="U26" s="617">
        <f>U25*T26/T25</f>
        <v>0.22825164444444454</v>
      </c>
      <c r="V26" s="441"/>
      <c r="W26" s="441"/>
    </row>
    <row r="27" spans="1:23" ht="25.5" x14ac:dyDescent="0.5">
      <c r="A27" s="309" t="s">
        <v>24</v>
      </c>
      <c r="B27" s="352"/>
      <c r="C27" s="320"/>
      <c r="D27" s="320"/>
      <c r="E27" s="320"/>
      <c r="F27" s="335" t="s">
        <v>137</v>
      </c>
      <c r="G27" s="335" t="s">
        <v>138</v>
      </c>
      <c r="H27" s="569" t="s">
        <v>147</v>
      </c>
      <c r="I27" s="573"/>
      <c r="J27" s="573"/>
      <c r="K27" s="570"/>
      <c r="L27" s="307"/>
      <c r="M27" s="308"/>
      <c r="N27" s="509"/>
      <c r="O27" s="485" t="s">
        <v>285</v>
      </c>
      <c r="P27" s="510">
        <v>350000</v>
      </c>
      <c r="Q27" s="470">
        <v>202988.55</v>
      </c>
      <c r="R27" s="432">
        <f t="shared" si="0"/>
        <v>57.996728571428569</v>
      </c>
      <c r="S27" s="292" t="s">
        <v>51</v>
      </c>
      <c r="T27" s="496"/>
      <c r="U27" s="617"/>
      <c r="V27" s="441"/>
      <c r="W27" s="441"/>
    </row>
    <row r="28" spans="1:23" ht="25.5" x14ac:dyDescent="0.5">
      <c r="A28" s="309"/>
      <c r="B28" s="352"/>
      <c r="C28" s="320"/>
      <c r="D28" s="320"/>
      <c r="E28" s="320"/>
      <c r="F28" s="320"/>
      <c r="G28" s="320"/>
      <c r="H28" s="569" t="s">
        <v>180</v>
      </c>
      <c r="I28" s="573"/>
      <c r="J28" s="573"/>
      <c r="K28" s="570"/>
      <c r="L28" s="307"/>
      <c r="M28" s="308"/>
      <c r="N28" s="485"/>
      <c r="O28" s="463" t="s">
        <v>286</v>
      </c>
      <c r="P28" s="464">
        <v>600000</v>
      </c>
      <c r="Q28" s="470">
        <v>546368.19999999995</v>
      </c>
      <c r="R28" s="432">
        <f t="shared" si="0"/>
        <v>91.061366666666657</v>
      </c>
      <c r="S28" s="292" t="s">
        <v>51</v>
      </c>
      <c r="T28" s="496"/>
      <c r="U28" s="617"/>
      <c r="V28" s="441"/>
      <c r="W28" s="441"/>
    </row>
    <row r="29" spans="1:23" ht="24" customHeight="1" x14ac:dyDescent="0.5">
      <c r="A29" s="309"/>
      <c r="B29" s="352"/>
      <c r="C29" s="320"/>
      <c r="D29" s="320"/>
      <c r="E29" s="320"/>
      <c r="F29" s="320"/>
      <c r="G29" s="311"/>
      <c r="H29" s="569"/>
      <c r="I29" s="323" t="s">
        <v>56</v>
      </c>
      <c r="J29" s="324">
        <f>Q31</f>
        <v>80.706291111111113</v>
      </c>
      <c r="K29" s="570" t="s">
        <v>51</v>
      </c>
      <c r="L29" s="307"/>
      <c r="M29" s="308"/>
      <c r="N29" s="486"/>
      <c r="O29" s="486" t="s">
        <v>287</v>
      </c>
      <c r="P29" s="466">
        <v>600000</v>
      </c>
      <c r="Q29" s="471">
        <v>512568.3</v>
      </c>
      <c r="R29" s="432">
        <f t="shared" si="0"/>
        <v>85.428049999999999</v>
      </c>
      <c r="S29" s="292" t="s">
        <v>51</v>
      </c>
      <c r="T29" s="496"/>
      <c r="U29" s="617"/>
      <c r="V29" s="441"/>
      <c r="W29" s="441"/>
    </row>
    <row r="30" spans="1:23" ht="23.25" x14ac:dyDescent="0.35">
      <c r="A30" s="309"/>
      <c r="B30" s="352"/>
      <c r="C30" s="320"/>
      <c r="D30" s="320"/>
      <c r="E30" s="320"/>
      <c r="F30" s="320"/>
      <c r="G30" s="320"/>
      <c r="H30" s="333"/>
      <c r="I30" s="306"/>
      <c r="J30" s="306"/>
      <c r="K30" s="312"/>
      <c r="L30" s="307"/>
      <c r="M30" s="308"/>
      <c r="O30" s="492" t="s">
        <v>344</v>
      </c>
      <c r="P30" s="447">
        <f>SUM(P25:P29)</f>
        <v>2250000</v>
      </c>
      <c r="Q30" s="545">
        <f>SUM(Q25:Q29)</f>
        <v>1815891.55</v>
      </c>
      <c r="R30" s="545"/>
    </row>
    <row r="31" spans="1:23" ht="23.25" x14ac:dyDescent="0.35">
      <c r="A31" s="302" t="s">
        <v>183</v>
      </c>
      <c r="B31" s="403">
        <v>4</v>
      </c>
      <c r="C31" s="332">
        <v>0.8</v>
      </c>
      <c r="D31" s="332">
        <v>0.85</v>
      </c>
      <c r="E31" s="332">
        <v>0.9</v>
      </c>
      <c r="F31" s="332">
        <v>0.95</v>
      </c>
      <c r="G31" s="332">
        <v>1</v>
      </c>
      <c r="H31" s="386" t="s">
        <v>150</v>
      </c>
      <c r="I31" s="387"/>
      <c r="J31" s="387"/>
      <c r="K31" s="388"/>
      <c r="L31" s="304">
        <v>1</v>
      </c>
      <c r="M31" s="305">
        <f>IF(L31=0,"-",ROUND(L31*B31/B$82,4))</f>
        <v>5.5599999999999997E-2</v>
      </c>
      <c r="N31" s="425" t="s">
        <v>202</v>
      </c>
      <c r="Q31" s="488">
        <f>Q30*100/P30</f>
        <v>80.706291111111113</v>
      </c>
      <c r="R31" s="292" t="s">
        <v>51</v>
      </c>
    </row>
    <row r="32" spans="1:23" ht="23.25" x14ac:dyDescent="0.35">
      <c r="A32" s="309" t="s">
        <v>28</v>
      </c>
      <c r="B32" s="352"/>
      <c r="C32" s="320"/>
      <c r="D32" s="320"/>
      <c r="E32" s="320"/>
      <c r="F32" s="320"/>
      <c r="G32" s="320"/>
      <c r="H32" s="569" t="s">
        <v>154</v>
      </c>
      <c r="I32" s="573"/>
      <c r="J32" s="573"/>
      <c r="K32" s="570"/>
      <c r="L32" s="307"/>
      <c r="M32" s="308"/>
      <c r="N32" s="425" t="s">
        <v>236</v>
      </c>
    </row>
    <row r="33" spans="1:15" ht="23.25" x14ac:dyDescent="0.35">
      <c r="A33" s="309" t="s">
        <v>60</v>
      </c>
      <c r="B33" s="352"/>
      <c r="C33" s="320"/>
      <c r="D33" s="320"/>
      <c r="E33" s="320"/>
      <c r="F33" s="320"/>
      <c r="G33" s="320"/>
      <c r="H33" s="569" t="s">
        <v>64</v>
      </c>
      <c r="I33" s="573"/>
      <c r="J33" s="573"/>
      <c r="K33" s="570"/>
      <c r="L33" s="307"/>
      <c r="M33" s="308"/>
      <c r="N33" s="292">
        <v>25</v>
      </c>
      <c r="O33" s="431">
        <v>1</v>
      </c>
    </row>
    <row r="34" spans="1:15" ht="23.25" x14ac:dyDescent="0.35">
      <c r="A34" s="309"/>
      <c r="B34" s="352"/>
      <c r="C34" s="320"/>
      <c r="D34" s="320"/>
      <c r="E34" s="320"/>
      <c r="F34" s="320"/>
      <c r="G34" s="320"/>
      <c r="H34" s="380" t="s">
        <v>180</v>
      </c>
      <c r="I34" s="323"/>
      <c r="J34" s="322"/>
      <c r="K34" s="382"/>
      <c r="L34" s="307"/>
      <c r="M34" s="308"/>
      <c r="N34" s="292">
        <v>5</v>
      </c>
      <c r="O34" s="431">
        <f>O33*N34/N33</f>
        <v>0.2</v>
      </c>
    </row>
    <row r="35" spans="1:15" ht="23.25" x14ac:dyDescent="0.35">
      <c r="A35" s="309"/>
      <c r="B35" s="352"/>
      <c r="C35" s="320"/>
      <c r="D35" s="320"/>
      <c r="E35" s="320"/>
      <c r="F35" s="320"/>
      <c r="G35" s="320"/>
      <c r="H35" s="380"/>
      <c r="I35" s="323" t="s">
        <v>66</v>
      </c>
      <c r="J35" s="334">
        <f>สพญ.!T55</f>
        <v>9</v>
      </c>
      <c r="K35" s="382" t="s">
        <v>61</v>
      </c>
      <c r="L35" s="307"/>
      <c r="M35" s="308"/>
    </row>
    <row r="36" spans="1:15" ht="23.25" x14ac:dyDescent="0.35">
      <c r="A36" s="309"/>
      <c r="B36" s="352"/>
      <c r="C36" s="320"/>
      <c r="D36" s="320"/>
      <c r="E36" s="320"/>
      <c r="F36" s="320"/>
      <c r="G36" s="320"/>
      <c r="H36" s="380"/>
      <c r="I36" s="323" t="s">
        <v>67</v>
      </c>
      <c r="J36" s="334">
        <f>สพญ.!U55</f>
        <v>5</v>
      </c>
      <c r="K36" s="382" t="s">
        <v>61</v>
      </c>
      <c r="L36" s="307"/>
      <c r="M36" s="308"/>
    </row>
    <row r="37" spans="1:15" ht="23.25" x14ac:dyDescent="0.35">
      <c r="A37" s="309"/>
      <c r="B37" s="352"/>
      <c r="C37" s="320"/>
      <c r="D37" s="320"/>
      <c r="E37" s="320"/>
      <c r="F37" s="320"/>
      <c r="G37" s="320"/>
      <c r="H37" s="569"/>
      <c r="I37" s="323" t="s">
        <v>81</v>
      </c>
      <c r="J37" s="334">
        <f>J36*100/J35</f>
        <v>55.555555555555557</v>
      </c>
      <c r="K37" s="570" t="s">
        <v>51</v>
      </c>
      <c r="L37" s="307"/>
      <c r="M37" s="308"/>
    </row>
    <row r="38" spans="1:15" ht="23.25" x14ac:dyDescent="0.35">
      <c r="A38" s="325"/>
      <c r="B38" s="359"/>
      <c r="C38" s="310"/>
      <c r="D38" s="310"/>
      <c r="E38" s="310"/>
      <c r="F38" s="310"/>
      <c r="G38" s="310"/>
      <c r="H38" s="565"/>
      <c r="I38" s="423"/>
      <c r="J38" s="423"/>
      <c r="K38" s="424"/>
      <c r="L38" s="326"/>
      <c r="M38" s="299"/>
    </row>
    <row r="39" spans="1:15" ht="23.25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4" t="s">
        <v>152</v>
      </c>
      <c r="I39" s="571"/>
      <c r="J39" s="571"/>
      <c r="K39" s="572"/>
      <c r="L39" s="304">
        <v>5</v>
      </c>
      <c r="M39" s="305">
        <f>IF(L39=0,"-",ROUND(L39*B39/B$82,4))</f>
        <v>0.27779999999999999</v>
      </c>
      <c r="N39" s="425" t="s">
        <v>332</v>
      </c>
    </row>
    <row r="40" spans="1:15" ht="23.25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3" t="s">
        <v>153</v>
      </c>
      <c r="I40" s="573"/>
      <c r="J40" s="573"/>
      <c r="K40" s="570"/>
      <c r="L40" s="307"/>
      <c r="M40" s="308"/>
      <c r="N40" s="425" t="s">
        <v>236</v>
      </c>
    </row>
    <row r="41" spans="1:15" ht="23.25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3" t="s">
        <v>180</v>
      </c>
      <c r="I41" s="573"/>
      <c r="J41" s="573"/>
      <c r="K41" s="570"/>
      <c r="L41" s="307"/>
      <c r="M41" s="308"/>
    </row>
    <row r="42" spans="1:15" ht="23.25" x14ac:dyDescent="0.35">
      <c r="A42" s="309"/>
      <c r="B42" s="406"/>
      <c r="C42" s="336"/>
      <c r="D42" s="336"/>
      <c r="E42" s="336"/>
      <c r="F42" s="336"/>
      <c r="G42" s="390"/>
      <c r="H42" s="569"/>
      <c r="I42" s="323" t="s">
        <v>56</v>
      </c>
      <c r="J42" s="324">
        <v>100</v>
      </c>
      <c r="K42" s="570" t="s">
        <v>51</v>
      </c>
      <c r="L42" s="307"/>
      <c r="M42" s="308"/>
    </row>
    <row r="43" spans="1:15" ht="23.25" x14ac:dyDescent="0.35">
      <c r="A43" s="325"/>
      <c r="B43" s="359"/>
      <c r="C43" s="310"/>
      <c r="D43" s="310"/>
      <c r="E43" s="310"/>
      <c r="F43" s="310"/>
      <c r="G43" s="310"/>
      <c r="H43" s="565"/>
      <c r="I43" s="566"/>
      <c r="J43" s="566"/>
      <c r="K43" s="567"/>
      <c r="L43" s="326"/>
      <c r="M43" s="299"/>
    </row>
    <row r="44" spans="1:15" ht="23.25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4" t="s">
        <v>186</v>
      </c>
      <c r="I44" s="571"/>
      <c r="J44" s="571"/>
      <c r="K44" s="572"/>
      <c r="L44" s="304">
        <v>1</v>
      </c>
      <c r="M44" s="305">
        <f>IF(L44=0,"-",ROUND(L44*B44/B$82,4))</f>
        <v>0.16669999999999999</v>
      </c>
      <c r="N44" s="425" t="s">
        <v>289</v>
      </c>
    </row>
    <row r="45" spans="1:15" ht="23.25" x14ac:dyDescent="0.35">
      <c r="A45" s="309" t="s">
        <v>385</v>
      </c>
      <c r="B45" s="352"/>
      <c r="C45" s="320"/>
      <c r="D45" s="320"/>
      <c r="E45" s="320"/>
      <c r="F45" s="320"/>
      <c r="G45" s="320"/>
      <c r="H45" s="569" t="s">
        <v>196</v>
      </c>
      <c r="I45" s="573"/>
      <c r="J45" s="573"/>
      <c r="K45" s="570"/>
      <c r="L45" s="307"/>
      <c r="M45" s="308"/>
      <c r="N45" s="425" t="s">
        <v>236</v>
      </c>
    </row>
    <row r="46" spans="1:15" ht="23.25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v>286140000</v>
      </c>
      <c r="K46" s="570" t="s">
        <v>187</v>
      </c>
      <c r="L46" s="307"/>
      <c r="M46" s="308"/>
      <c r="N46" s="292">
        <v>3</v>
      </c>
      <c r="O46" s="431">
        <v>1</v>
      </c>
    </row>
    <row r="47" spans="1:15" ht="23.25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v>200600000</v>
      </c>
      <c r="K47" s="570" t="s">
        <v>187</v>
      </c>
      <c r="L47" s="307"/>
      <c r="M47" s="308"/>
      <c r="N47" s="545">
        <f>J48-70</f>
        <v>0.10554274131544616</v>
      </c>
      <c r="O47" s="431">
        <f>O46*N47/N46</f>
        <v>3.5180913771815391E-2</v>
      </c>
    </row>
    <row r="48" spans="1:15" ht="23.25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70.105542741315446</v>
      </c>
      <c r="K48" s="570" t="s">
        <v>51</v>
      </c>
      <c r="L48" s="307"/>
      <c r="M48" s="308"/>
    </row>
    <row r="49" spans="1:15" ht="23.25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15" ht="23.25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4" t="s">
        <v>156</v>
      </c>
      <c r="I50" s="571"/>
      <c r="J50" s="571"/>
      <c r="K50" s="572"/>
      <c r="L50" s="304">
        <v>1</v>
      </c>
      <c r="M50" s="305">
        <f>IF(L50=0,"-",ROUND(L50*B50/B$82,4))</f>
        <v>5.5599999999999997E-2</v>
      </c>
      <c r="N50" s="425" t="s">
        <v>337</v>
      </c>
    </row>
    <row r="51" spans="1:15" ht="23.25" x14ac:dyDescent="0.35">
      <c r="A51" s="309" t="s">
        <v>145</v>
      </c>
      <c r="B51" s="352"/>
      <c r="C51" s="320"/>
      <c r="D51" s="320"/>
      <c r="E51" s="320"/>
      <c r="F51" s="320"/>
      <c r="G51" s="320"/>
      <c r="H51" s="569" t="s">
        <v>104</v>
      </c>
      <c r="I51" s="573"/>
      <c r="J51" s="573"/>
      <c r="K51" s="570"/>
      <c r="L51" s="307"/>
      <c r="M51" s="308"/>
      <c r="N51" s="425" t="s">
        <v>236</v>
      </c>
    </row>
    <row r="52" spans="1:15" ht="23.25" x14ac:dyDescent="0.35">
      <c r="A52" s="389" t="s">
        <v>155</v>
      </c>
      <c r="B52" s="352"/>
      <c r="C52" s="320"/>
      <c r="D52" s="320"/>
      <c r="E52" s="320"/>
      <c r="F52" s="320"/>
      <c r="G52" s="320"/>
      <c r="H52" s="569" t="s">
        <v>105</v>
      </c>
      <c r="I52" s="573"/>
      <c r="J52" s="573"/>
      <c r="K52" s="570"/>
      <c r="L52" s="307"/>
      <c r="M52" s="308"/>
    </row>
    <row r="53" spans="1:15" ht="23.25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0" t="s">
        <v>51</v>
      </c>
      <c r="L53" s="307"/>
      <c r="M53" s="308"/>
    </row>
    <row r="54" spans="1:15" ht="23.25" x14ac:dyDescent="0.35">
      <c r="A54" s="325"/>
      <c r="B54" s="359"/>
      <c r="C54" s="310"/>
      <c r="D54" s="310"/>
      <c r="E54" s="310"/>
      <c r="F54" s="310"/>
      <c r="G54" s="415"/>
      <c r="H54" s="891" t="s">
        <v>211</v>
      </c>
      <c r="I54" s="892"/>
      <c r="J54" s="892"/>
      <c r="K54" s="893"/>
      <c r="L54" s="326"/>
      <c r="M54" s="299"/>
    </row>
    <row r="55" spans="1:15" ht="23.25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4" t="s">
        <v>108</v>
      </c>
      <c r="I55" s="571"/>
      <c r="J55" s="571"/>
      <c r="K55" s="572"/>
      <c r="L55" s="304">
        <v>2</v>
      </c>
      <c r="M55" s="305">
        <f>IF(L55=0,"-",ROUND(L55*B55/B$82,4))</f>
        <v>0.1111</v>
      </c>
      <c r="N55" s="425" t="s">
        <v>332</v>
      </c>
    </row>
    <row r="56" spans="1:15" ht="23.25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69" t="s">
        <v>146</v>
      </c>
      <c r="I56" s="573"/>
      <c r="J56" s="573"/>
      <c r="K56" s="570"/>
      <c r="L56" s="307"/>
      <c r="M56" s="308"/>
      <c r="N56" s="425" t="s">
        <v>236</v>
      </c>
    </row>
    <row r="57" spans="1:15" ht="23.25" x14ac:dyDescent="0.35">
      <c r="A57" s="309"/>
      <c r="B57" s="352"/>
      <c r="C57" s="344"/>
      <c r="D57" s="344"/>
      <c r="E57" s="344"/>
      <c r="F57" s="344"/>
      <c r="G57" s="344"/>
      <c r="H57" s="569" t="s">
        <v>110</v>
      </c>
      <c r="I57" s="573"/>
      <c r="J57" s="573"/>
      <c r="K57" s="570"/>
      <c r="L57" s="307"/>
      <c r="M57" s="308"/>
    </row>
    <row r="58" spans="1:15" ht="23.25" x14ac:dyDescent="0.35">
      <c r="A58" s="309"/>
      <c r="B58" s="352"/>
      <c r="C58" s="344"/>
      <c r="D58" s="344"/>
      <c r="E58" s="344"/>
      <c r="F58" s="344"/>
      <c r="G58" s="344"/>
      <c r="H58" s="569" t="s">
        <v>191</v>
      </c>
      <c r="I58" s="573"/>
      <c r="J58" s="573"/>
      <c r="K58" s="570"/>
      <c r="L58" s="307"/>
      <c r="M58" s="308"/>
    </row>
    <row r="59" spans="1:15" ht="23.25" x14ac:dyDescent="0.35">
      <c r="A59" s="309"/>
      <c r="B59" s="352"/>
      <c r="C59" s="344"/>
      <c r="D59" s="344"/>
      <c r="E59" s="344"/>
      <c r="F59" s="344"/>
      <c r="G59" s="344"/>
      <c r="H59" s="569"/>
      <c r="I59" s="323" t="s">
        <v>112</v>
      </c>
      <c r="J59" s="324">
        <v>2</v>
      </c>
      <c r="K59" s="382"/>
      <c r="L59" s="307"/>
      <c r="M59" s="308"/>
    </row>
    <row r="60" spans="1:15" ht="23.25" x14ac:dyDescent="0.35">
      <c r="A60" s="325"/>
      <c r="B60" s="359"/>
      <c r="C60" s="310"/>
      <c r="D60" s="310"/>
      <c r="E60" s="310"/>
      <c r="F60" s="310"/>
      <c r="G60" s="310"/>
      <c r="H60" s="891"/>
      <c r="I60" s="892"/>
      <c r="J60" s="892"/>
      <c r="K60" s="893"/>
      <c r="L60" s="326"/>
      <c r="M60" s="299"/>
    </row>
    <row r="61" spans="1:15" ht="23.25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4" t="s">
        <v>123</v>
      </c>
      <c r="I61" s="571"/>
      <c r="J61" s="571"/>
      <c r="K61" s="572"/>
      <c r="L61" s="304">
        <f>4+O64</f>
        <v>4.8</v>
      </c>
      <c r="M61" s="305">
        <f>IF(L61=0,"-",ROUND(L61*B61/B$82,4))</f>
        <v>0.26669999999999999</v>
      </c>
      <c r="N61" s="425" t="s">
        <v>202</v>
      </c>
    </row>
    <row r="62" spans="1:15" ht="23.25" x14ac:dyDescent="0.35">
      <c r="A62" s="351" t="s">
        <v>192</v>
      </c>
      <c r="B62" s="352"/>
      <c r="C62" s="320"/>
      <c r="D62" s="320"/>
      <c r="E62" s="320"/>
      <c r="F62" s="320"/>
      <c r="G62" s="311"/>
      <c r="H62" s="569" t="s">
        <v>124</v>
      </c>
      <c r="I62" s="322"/>
      <c r="J62" s="353"/>
      <c r="K62" s="354"/>
      <c r="L62" s="355"/>
      <c r="M62" s="308"/>
      <c r="N62" s="425" t="s">
        <v>213</v>
      </c>
    </row>
    <row r="63" spans="1:15" ht="23.25" x14ac:dyDescent="0.35">
      <c r="A63" s="351"/>
      <c r="B63" s="352"/>
      <c r="C63" s="320"/>
      <c r="D63" s="320"/>
      <c r="E63" s="320"/>
      <c r="F63" s="320"/>
      <c r="G63" s="320"/>
      <c r="H63" s="573" t="s">
        <v>125</v>
      </c>
      <c r="I63" s="322"/>
      <c r="J63" s="353"/>
      <c r="K63" s="354"/>
      <c r="L63" s="355"/>
      <c r="M63" s="308"/>
      <c r="N63" s="292">
        <v>30</v>
      </c>
      <c r="O63" s="431">
        <v>1</v>
      </c>
    </row>
    <row r="64" spans="1:15" ht="23.25" x14ac:dyDescent="0.35">
      <c r="A64" s="351"/>
      <c r="B64" s="352"/>
      <c r="C64" s="320"/>
      <c r="D64" s="320"/>
      <c r="E64" s="320"/>
      <c r="F64" s="320"/>
      <c r="G64" s="320"/>
      <c r="H64" s="569" t="s">
        <v>126</v>
      </c>
      <c r="I64" s="322"/>
      <c r="J64" s="353"/>
      <c r="K64" s="354"/>
      <c r="L64" s="355"/>
      <c r="M64" s="308"/>
      <c r="N64" s="540">
        <f>J66-70</f>
        <v>24</v>
      </c>
      <c r="O64" s="431">
        <f>O63*N64/N63</f>
        <v>0.8</v>
      </c>
    </row>
    <row r="65" spans="1:14" ht="23.25" x14ac:dyDescent="0.35">
      <c r="A65" s="351"/>
      <c r="B65" s="352"/>
      <c r="C65" s="320"/>
      <c r="D65" s="320"/>
      <c r="E65" s="320"/>
      <c r="F65" s="320"/>
      <c r="G65" s="320"/>
      <c r="H65" s="569" t="s">
        <v>127</v>
      </c>
      <c r="I65" s="322"/>
      <c r="J65" s="353"/>
      <c r="K65" s="354"/>
      <c r="L65" s="355"/>
      <c r="M65" s="308"/>
    </row>
    <row r="66" spans="1:14" ht="23.25" x14ac:dyDescent="0.35">
      <c r="A66" s="351"/>
      <c r="B66" s="352"/>
      <c r="C66" s="320"/>
      <c r="D66" s="320"/>
      <c r="E66" s="320"/>
      <c r="F66" s="320"/>
      <c r="G66" s="320"/>
      <c r="H66" s="569"/>
      <c r="I66" s="323" t="s">
        <v>114</v>
      </c>
      <c r="J66" s="408">
        <f>สพญ.!S100</f>
        <v>94</v>
      </c>
      <c r="K66" s="382" t="s">
        <v>51</v>
      </c>
      <c r="L66" s="355"/>
      <c r="M66" s="308"/>
    </row>
    <row r="67" spans="1:14" ht="23.25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</row>
    <row r="68" spans="1:14" ht="23.25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4" t="s">
        <v>157</v>
      </c>
      <c r="I68" s="571"/>
      <c r="J68" s="571"/>
      <c r="K68" s="572"/>
      <c r="L68" s="304">
        <v>5</v>
      </c>
      <c r="M68" s="305">
        <f>IF(L68=0,"-",ROUND(L68*B68/B$82,4))</f>
        <v>0.27779999999999999</v>
      </c>
      <c r="N68" s="425" t="s">
        <v>347</v>
      </c>
    </row>
    <row r="69" spans="1:14" ht="23.25" x14ac:dyDescent="0.35">
      <c r="A69" s="309" t="s">
        <v>116</v>
      </c>
      <c r="B69" s="352"/>
      <c r="C69" s="348"/>
      <c r="D69" s="348"/>
      <c r="E69" s="348"/>
      <c r="F69" s="348"/>
      <c r="G69" s="348"/>
      <c r="H69" s="569" t="s">
        <v>158</v>
      </c>
      <c r="I69" s="573"/>
      <c r="J69" s="573"/>
      <c r="K69" s="570"/>
      <c r="L69" s="362"/>
      <c r="M69" s="308"/>
      <c r="N69" s="425" t="s">
        <v>236</v>
      </c>
    </row>
    <row r="70" spans="1:14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69" t="s">
        <v>197</v>
      </c>
      <c r="I70" s="573"/>
      <c r="J70" s="573"/>
      <c r="K70" s="570"/>
      <c r="L70" s="362"/>
      <c r="M70" s="308"/>
    </row>
    <row r="71" spans="1:14" ht="23.25" x14ac:dyDescent="0.35">
      <c r="A71" s="309"/>
      <c r="B71" s="352"/>
      <c r="C71" s="320"/>
      <c r="D71" s="320"/>
      <c r="E71" s="320"/>
      <c r="F71" s="320"/>
      <c r="G71" s="320"/>
      <c r="H71" s="569" t="s">
        <v>120</v>
      </c>
      <c r="I71" s="573"/>
      <c r="J71" s="573"/>
      <c r="K71" s="570"/>
      <c r="L71" s="362"/>
      <c r="M71" s="308"/>
    </row>
    <row r="72" spans="1:14" ht="23.25" x14ac:dyDescent="0.35">
      <c r="A72" s="309"/>
      <c r="B72" s="352"/>
      <c r="C72" s="320"/>
      <c r="D72" s="320"/>
      <c r="E72" s="320"/>
      <c r="F72" s="320"/>
      <c r="G72" s="320"/>
      <c r="H72" s="569" t="s">
        <v>194</v>
      </c>
      <c r="I72" s="573"/>
      <c r="J72" s="573"/>
      <c r="K72" s="570"/>
      <c r="L72" s="362"/>
      <c r="M72" s="308"/>
    </row>
    <row r="73" spans="1:14" ht="23.25" x14ac:dyDescent="0.35">
      <c r="A73" s="309"/>
      <c r="B73" s="352"/>
      <c r="C73" s="320"/>
      <c r="D73" s="320"/>
      <c r="E73" s="320"/>
      <c r="F73" s="320"/>
      <c r="G73" s="344"/>
      <c r="H73" s="569" t="s">
        <v>195</v>
      </c>
      <c r="I73" s="345"/>
      <c r="J73" s="408">
        <v>100</v>
      </c>
      <c r="K73" s="413" t="s">
        <v>51</v>
      </c>
      <c r="L73" s="412"/>
      <c r="M73" s="308"/>
    </row>
    <row r="74" spans="1:14" ht="23.25" x14ac:dyDescent="0.35">
      <c r="A74" s="358"/>
      <c r="B74" s="414"/>
      <c r="C74" s="411"/>
      <c r="D74" s="411"/>
      <c r="E74" s="411"/>
      <c r="F74" s="411"/>
      <c r="G74" s="329"/>
      <c r="H74" s="576"/>
      <c r="I74" s="582"/>
      <c r="J74" s="583"/>
      <c r="K74" s="584"/>
      <c r="L74" s="416"/>
      <c r="M74" s="308"/>
    </row>
    <row r="75" spans="1:14" ht="23.25" x14ac:dyDescent="0.35">
      <c r="A75" s="351" t="s">
        <v>324</v>
      </c>
      <c r="B75" s="585">
        <v>4</v>
      </c>
      <c r="C75" s="586">
        <v>0.4</v>
      </c>
      <c r="D75" s="586">
        <v>0.45</v>
      </c>
      <c r="E75" s="586">
        <v>0.5</v>
      </c>
      <c r="F75" s="586">
        <v>0.55000000000000004</v>
      </c>
      <c r="G75" s="586">
        <v>0.6</v>
      </c>
      <c r="H75" s="569" t="s">
        <v>325</v>
      </c>
      <c r="I75" s="345"/>
      <c r="J75" s="587"/>
      <c r="K75" s="588"/>
      <c r="L75" s="412">
        <v>3</v>
      </c>
      <c r="M75" s="305">
        <f>IF(L75=0,"-",ROUND(L75*B75/B$82,4))</f>
        <v>0.16669999999999999</v>
      </c>
      <c r="N75" s="425" t="s">
        <v>332</v>
      </c>
    </row>
    <row r="76" spans="1:14" ht="23.25" x14ac:dyDescent="0.35">
      <c r="A76" s="351" t="s">
        <v>326</v>
      </c>
      <c r="B76" s="406"/>
      <c r="C76" s="311"/>
      <c r="D76" s="311"/>
      <c r="E76" s="311"/>
      <c r="F76" s="311"/>
      <c r="G76" s="333"/>
      <c r="H76" s="569" t="s">
        <v>327</v>
      </c>
      <c r="I76" s="345"/>
      <c r="J76" s="587"/>
      <c r="K76" s="588"/>
      <c r="L76" s="412"/>
      <c r="M76" s="308"/>
      <c r="N76" s="425" t="s">
        <v>236</v>
      </c>
    </row>
    <row r="77" spans="1:14" ht="23.25" x14ac:dyDescent="0.35">
      <c r="A77" s="351"/>
      <c r="B77" s="406"/>
      <c r="C77" s="311"/>
      <c r="D77" s="311"/>
      <c r="E77" s="311"/>
      <c r="F77" s="311"/>
      <c r="G77" s="333"/>
      <c r="H77" s="569"/>
      <c r="I77" s="345"/>
      <c r="J77" s="587"/>
      <c r="K77" s="588"/>
      <c r="L77" s="412"/>
      <c r="M77" s="308"/>
    </row>
    <row r="78" spans="1:14" ht="23.25" x14ac:dyDescent="0.35">
      <c r="A78" s="351"/>
      <c r="B78" s="406"/>
      <c r="C78" s="311"/>
      <c r="D78" s="311"/>
      <c r="E78" s="311"/>
      <c r="F78" s="311"/>
      <c r="G78" s="333"/>
      <c r="H78" s="569"/>
      <c r="I78" s="345" t="s">
        <v>174</v>
      </c>
      <c r="J78" s="589">
        <v>50</v>
      </c>
      <c r="K78" s="413" t="s">
        <v>51</v>
      </c>
      <c r="L78" s="412"/>
      <c r="M78" s="308"/>
    </row>
    <row r="79" spans="1:14" ht="23.25" x14ac:dyDescent="0.35">
      <c r="A79" s="351"/>
      <c r="B79" s="406"/>
      <c r="C79" s="311"/>
      <c r="D79" s="311"/>
      <c r="E79" s="311"/>
      <c r="F79" s="311"/>
      <c r="G79" s="333"/>
      <c r="H79" s="569"/>
      <c r="I79" s="345"/>
      <c r="J79" s="587"/>
      <c r="K79" s="588"/>
      <c r="L79" s="412"/>
      <c r="M79" s="308"/>
    </row>
    <row r="80" spans="1:14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6"/>
      <c r="I81" s="345"/>
      <c r="J81" s="587"/>
      <c r="K81" s="584"/>
      <c r="L81" s="412"/>
      <c r="M81" s="308"/>
    </row>
    <row r="82" spans="1:13" ht="26.25" x14ac:dyDescent="0.4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3.0066000000000006</v>
      </c>
    </row>
  </sheetData>
  <mergeCells count="21">
    <mergeCell ref="H54:K54"/>
    <mergeCell ref="H60:K60"/>
    <mergeCell ref="H15:K15"/>
    <mergeCell ref="H17:K17"/>
    <mergeCell ref="H18:K18"/>
    <mergeCell ref="H19:K19"/>
    <mergeCell ref="H20:K20"/>
    <mergeCell ref="H25:K25"/>
    <mergeCell ref="H14:K14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K11"/>
    <mergeCell ref="H12:K12"/>
    <mergeCell ref="H13:K13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0" max="12" man="1"/>
    <brk id="54" max="12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/>
  </sheetViews>
  <sheetFormatPr defaultRowHeight="23.25" x14ac:dyDescent="0.5"/>
  <cols>
    <col min="1" max="1" width="22.85546875" style="658" bestFit="1" customWidth="1"/>
    <col min="2" max="2" width="9.5703125" style="658" customWidth="1"/>
    <col min="3" max="3" width="9.140625" style="658"/>
    <col min="4" max="4" width="15.85546875" style="658" bestFit="1" customWidth="1"/>
    <col min="5" max="5" width="9.140625" style="658"/>
    <col min="6" max="6" width="22.85546875" style="658" bestFit="1" customWidth="1"/>
    <col min="7" max="7" width="9.140625" style="728"/>
    <col min="8" max="8" width="9.140625" style="658"/>
    <col min="9" max="9" width="15.85546875" style="658" bestFit="1" customWidth="1"/>
    <col min="10" max="10" width="24.85546875" style="658" bestFit="1" customWidth="1"/>
    <col min="11" max="16384" width="9.140625" style="658"/>
  </cols>
  <sheetData>
    <row r="1" spans="1:19" x14ac:dyDescent="0.5">
      <c r="A1" s="727" t="s">
        <v>430</v>
      </c>
      <c r="B1" s="660" t="s">
        <v>309</v>
      </c>
      <c r="C1" s="727" t="s">
        <v>308</v>
      </c>
      <c r="D1" s="727" t="s">
        <v>470</v>
      </c>
    </row>
    <row r="2" spans="1:19" x14ac:dyDescent="0.5">
      <c r="A2" s="725" t="s">
        <v>237</v>
      </c>
      <c r="B2" s="726">
        <v>100</v>
      </c>
      <c r="C2" s="726">
        <f>สพญ.!M98</f>
        <v>3.1978</v>
      </c>
      <c r="D2" s="726">
        <f>C2*B2/100</f>
        <v>3.1977999999999995</v>
      </c>
      <c r="F2" s="726" t="s">
        <v>430</v>
      </c>
      <c r="G2" s="726" t="s">
        <v>309</v>
      </c>
      <c r="H2" s="726" t="s">
        <v>308</v>
      </c>
      <c r="I2" s="726" t="s">
        <v>470</v>
      </c>
      <c r="M2" s="943" t="s">
        <v>86</v>
      </c>
      <c r="N2" s="943"/>
      <c r="O2" s="943"/>
      <c r="Q2" s="943" t="s">
        <v>86</v>
      </c>
      <c r="R2" s="943"/>
      <c r="S2" s="943"/>
    </row>
    <row r="3" spans="1:19" x14ac:dyDescent="0.5">
      <c r="A3" s="707" t="s">
        <v>410</v>
      </c>
      <c r="B3" s="706">
        <f>ส่วนวิศวกรรม!B82</f>
        <v>72</v>
      </c>
      <c r="C3" s="660">
        <f>ส่วนวิศวกรรม!M82</f>
        <v>3.1305000000000005</v>
      </c>
      <c r="D3" s="659">
        <f>C3*B3/100</f>
        <v>2.2539600000000006</v>
      </c>
      <c r="F3" s="705" t="s">
        <v>323</v>
      </c>
      <c r="G3" s="660">
        <v>88</v>
      </c>
      <c r="H3" s="660">
        <v>3.3954000000000009</v>
      </c>
      <c r="I3" s="659">
        <v>2.9879520000000008</v>
      </c>
      <c r="J3" s="658" t="s">
        <v>429</v>
      </c>
      <c r="L3" s="707" t="s">
        <v>412</v>
      </c>
      <c r="M3" s="942">
        <f>สพญ.1!J47</f>
        <v>93.428203958013526</v>
      </c>
      <c r="N3" s="943"/>
      <c r="O3" s="943"/>
      <c r="Q3" s="727" t="s">
        <v>418</v>
      </c>
      <c r="R3" s="760">
        <v>95.401558575384811</v>
      </c>
    </row>
    <row r="4" spans="1:19" x14ac:dyDescent="0.5">
      <c r="A4" s="707" t="s">
        <v>323</v>
      </c>
      <c r="B4" s="706">
        <f>ส่วนติดตามและประเมินผล!B99</f>
        <v>88</v>
      </c>
      <c r="C4" s="660">
        <f>ส่วนติดตามและประเมินผล!M99</f>
        <v>3.3954000000000009</v>
      </c>
      <c r="D4" s="659">
        <f t="shared" ref="D4:D18" si="0">C4*B4/100</f>
        <v>2.9879520000000008</v>
      </c>
      <c r="F4" s="705" t="s">
        <v>422</v>
      </c>
      <c r="G4" s="660">
        <v>76</v>
      </c>
      <c r="H4" s="660">
        <v>3.9238999999999997</v>
      </c>
      <c r="I4" s="659">
        <v>2.9821639999999996</v>
      </c>
      <c r="J4" s="672" t="s">
        <v>425</v>
      </c>
      <c r="L4" s="707" t="s">
        <v>413</v>
      </c>
      <c r="M4" s="942">
        <f>สพญ.2!J46</f>
        <v>82.304910766359498</v>
      </c>
      <c r="N4" s="943"/>
      <c r="O4" s="943"/>
      <c r="Q4" s="727" t="s">
        <v>412</v>
      </c>
      <c r="R4" s="760">
        <v>92.65340414056341</v>
      </c>
    </row>
    <row r="5" spans="1:19" x14ac:dyDescent="0.5">
      <c r="A5" s="707" t="s">
        <v>411</v>
      </c>
      <c r="B5" s="706">
        <f>ฝ่ายบริหาร!B43</f>
        <v>24</v>
      </c>
      <c r="C5" s="660">
        <f>ฝ่ายบริหาร!M43</f>
        <v>3.8003</v>
      </c>
      <c r="D5" s="659">
        <f t="shared" si="0"/>
        <v>0.91207199999999999</v>
      </c>
      <c r="F5" s="705" t="s">
        <v>418</v>
      </c>
      <c r="G5" s="660">
        <v>60</v>
      </c>
      <c r="H5" s="660">
        <v>4.2538999999999998</v>
      </c>
      <c r="I5" s="659">
        <v>2.5523399999999996</v>
      </c>
      <c r="J5" s="674" t="s">
        <v>426</v>
      </c>
      <c r="L5" s="707" t="s">
        <v>414</v>
      </c>
      <c r="M5" s="942">
        <f>สพญ.3!J43</f>
        <v>85.207670096986746</v>
      </c>
      <c r="N5" s="943"/>
      <c r="O5" s="943"/>
      <c r="Q5" s="727" t="s">
        <v>423</v>
      </c>
      <c r="R5" s="760">
        <v>90.422130577823083</v>
      </c>
    </row>
    <row r="6" spans="1:19" x14ac:dyDescent="0.5">
      <c r="A6" s="707" t="s">
        <v>412</v>
      </c>
      <c r="B6" s="706">
        <f>สพญ.1!B81</f>
        <v>60</v>
      </c>
      <c r="C6" s="660">
        <f>สพญ.1!M81</f>
        <v>3.3995000000000002</v>
      </c>
      <c r="D6" s="659">
        <f t="shared" si="0"/>
        <v>2.0396999999999998</v>
      </c>
      <c r="F6" s="705" t="s">
        <v>423</v>
      </c>
      <c r="G6" s="660">
        <v>64</v>
      </c>
      <c r="H6" s="660">
        <v>3.6025999999999998</v>
      </c>
      <c r="I6" s="659">
        <v>2.3056639999999997</v>
      </c>
      <c r="J6" s="673" t="s">
        <v>427</v>
      </c>
      <c r="L6" s="707" t="s">
        <v>415</v>
      </c>
      <c r="M6" s="942">
        <f>สพญ.4!J43</f>
        <v>36.045140643422606</v>
      </c>
      <c r="N6" s="943"/>
      <c r="O6" s="943"/>
      <c r="Q6" s="727" t="s">
        <v>422</v>
      </c>
      <c r="R6" s="760">
        <v>85.171183540081415</v>
      </c>
    </row>
    <row r="7" spans="1:19" x14ac:dyDescent="0.5">
      <c r="A7" s="707" t="s">
        <v>413</v>
      </c>
      <c r="B7" s="706">
        <f>สพญ.2!B80</f>
        <v>72</v>
      </c>
      <c r="C7" s="660">
        <f>สพญ.2!M80</f>
        <v>2.9174000000000007</v>
      </c>
      <c r="D7" s="659">
        <f t="shared" si="0"/>
        <v>2.1005280000000006</v>
      </c>
      <c r="F7" s="671" t="s">
        <v>410</v>
      </c>
      <c r="G7" s="660">
        <v>72</v>
      </c>
      <c r="H7" s="660">
        <v>3.1305000000000005</v>
      </c>
      <c r="I7" s="659">
        <v>2.2539600000000006</v>
      </c>
      <c r="L7" s="707" t="s">
        <v>416</v>
      </c>
      <c r="M7" s="942">
        <f>สพญ.5!J49</f>
        <v>72.62492736780942</v>
      </c>
      <c r="N7" s="943"/>
      <c r="O7" s="943"/>
      <c r="Q7" s="727" t="s">
        <v>414</v>
      </c>
      <c r="R7" s="760">
        <v>83.978677722662326</v>
      </c>
    </row>
    <row r="8" spans="1:19" x14ac:dyDescent="0.5">
      <c r="A8" s="707" t="s">
        <v>414</v>
      </c>
      <c r="B8" s="706">
        <f>สพญ.3!B77</f>
        <v>60</v>
      </c>
      <c r="C8" s="660">
        <f>สพญ.3!M77</f>
        <v>3.5103</v>
      </c>
      <c r="D8" s="659">
        <f t="shared" si="0"/>
        <v>2.1061800000000002</v>
      </c>
      <c r="F8" s="705" t="s">
        <v>424</v>
      </c>
      <c r="G8" s="660">
        <v>72</v>
      </c>
      <c r="H8" s="660">
        <v>3.0066000000000006</v>
      </c>
      <c r="I8" s="659">
        <v>2.1647520000000005</v>
      </c>
      <c r="L8" s="707" t="s">
        <v>417</v>
      </c>
      <c r="M8" s="942">
        <f>สพญ.6!J50</f>
        <v>43.813640451393923</v>
      </c>
      <c r="N8" s="943"/>
      <c r="O8" s="943"/>
      <c r="Q8" s="727" t="s">
        <v>413</v>
      </c>
      <c r="R8" s="760">
        <v>82.301578044025263</v>
      </c>
    </row>
    <row r="9" spans="1:19" x14ac:dyDescent="0.5">
      <c r="A9" s="707" t="s">
        <v>415</v>
      </c>
      <c r="B9" s="706">
        <f>สพญ.4!B77</f>
        <v>60</v>
      </c>
      <c r="C9" s="660">
        <f>สพญ.4!M77</f>
        <v>2.3475000000000001</v>
      </c>
      <c r="D9" s="659">
        <f t="shared" si="0"/>
        <v>1.4085000000000003</v>
      </c>
      <c r="F9" s="705" t="s">
        <v>416</v>
      </c>
      <c r="G9" s="660">
        <v>72</v>
      </c>
      <c r="H9" s="660">
        <v>2.9936000000000003</v>
      </c>
      <c r="I9" s="659">
        <v>2.1553920000000004</v>
      </c>
      <c r="L9" s="707" t="s">
        <v>418</v>
      </c>
      <c r="M9" s="942">
        <f>สพญ.7!J43</f>
        <v>95.596380498486511</v>
      </c>
      <c r="N9" s="943"/>
      <c r="O9" s="943"/>
      <c r="Q9" s="727" t="s">
        <v>421</v>
      </c>
      <c r="R9" s="760">
        <v>76.36073855776749</v>
      </c>
    </row>
    <row r="10" spans="1:19" x14ac:dyDescent="0.5">
      <c r="A10" s="707" t="s">
        <v>416</v>
      </c>
      <c r="B10" s="706">
        <f>สพญ.5!B83</f>
        <v>72</v>
      </c>
      <c r="C10" s="660">
        <f>สพญ.5!M83</f>
        <v>2.9936000000000003</v>
      </c>
      <c r="D10" s="659">
        <f t="shared" si="0"/>
        <v>2.1553920000000004</v>
      </c>
      <c r="F10" s="705" t="s">
        <v>414</v>
      </c>
      <c r="G10" s="660">
        <v>60</v>
      </c>
      <c r="H10" s="660">
        <v>3.5103</v>
      </c>
      <c r="I10" s="659">
        <v>2.1061800000000002</v>
      </c>
      <c r="L10" s="707" t="s">
        <v>419</v>
      </c>
      <c r="M10" s="942">
        <f>สพญ.8!J49</f>
        <v>72.777882029148685</v>
      </c>
      <c r="N10" s="943"/>
      <c r="O10" s="943"/>
      <c r="Q10" s="727" t="s">
        <v>419</v>
      </c>
      <c r="R10" s="760">
        <v>72.452617751923441</v>
      </c>
    </row>
    <row r="11" spans="1:19" x14ac:dyDescent="0.5">
      <c r="A11" s="707" t="s">
        <v>417</v>
      </c>
      <c r="B11" s="706">
        <f>สพญ.6!B84</f>
        <v>72</v>
      </c>
      <c r="C11" s="660">
        <f>สพญ.6!M84</f>
        <v>2.5102000000000002</v>
      </c>
      <c r="D11" s="659">
        <f t="shared" si="0"/>
        <v>1.8073440000000003</v>
      </c>
      <c r="F11" s="705" t="s">
        <v>420</v>
      </c>
      <c r="G11" s="660">
        <v>80</v>
      </c>
      <c r="H11" s="660">
        <v>2.6322000000000001</v>
      </c>
      <c r="I11" s="659">
        <v>2.1057600000000001</v>
      </c>
      <c r="L11" s="707" t="s">
        <v>420</v>
      </c>
      <c r="M11" s="942">
        <f>สพญ.9!J48</f>
        <v>72.906135214750705</v>
      </c>
      <c r="N11" s="943"/>
      <c r="O11" s="943"/>
      <c r="Q11" s="727" t="s">
        <v>416</v>
      </c>
      <c r="R11" s="760">
        <v>69.741429401510743</v>
      </c>
    </row>
    <row r="12" spans="1:19" x14ac:dyDescent="0.5">
      <c r="A12" s="707" t="s">
        <v>418</v>
      </c>
      <c r="B12" s="706">
        <f>สพญ.7!B77</f>
        <v>60</v>
      </c>
      <c r="C12" s="660">
        <f>สพญ.7!M77</f>
        <v>4.2538999999999998</v>
      </c>
      <c r="D12" s="659">
        <f t="shared" si="0"/>
        <v>2.5523399999999996</v>
      </c>
      <c r="F12" s="705" t="s">
        <v>413</v>
      </c>
      <c r="G12" s="660">
        <v>72</v>
      </c>
      <c r="H12" s="660">
        <v>2.9174000000000007</v>
      </c>
      <c r="I12" s="659">
        <v>2.1005280000000006</v>
      </c>
      <c r="L12" s="707" t="s">
        <v>421</v>
      </c>
      <c r="M12" s="942">
        <f>สพญ.10!J41</f>
        <v>76.880976724604565</v>
      </c>
      <c r="N12" s="943"/>
      <c r="O12" s="943"/>
      <c r="Q12" s="727" t="s">
        <v>424</v>
      </c>
      <c r="R12" s="760">
        <v>68.162437967428531</v>
      </c>
    </row>
    <row r="13" spans="1:19" x14ac:dyDescent="0.5">
      <c r="A13" s="707" t="s">
        <v>419</v>
      </c>
      <c r="B13" s="706">
        <f>สพญ.8!B83</f>
        <v>64</v>
      </c>
      <c r="C13" s="660">
        <f>สพญ.8!M83</f>
        <v>3.0299</v>
      </c>
      <c r="D13" s="659">
        <f t="shared" si="0"/>
        <v>1.939136</v>
      </c>
      <c r="F13" s="671" t="s">
        <v>412</v>
      </c>
      <c r="G13" s="660">
        <v>60</v>
      </c>
      <c r="H13" s="660">
        <v>3.3995000000000002</v>
      </c>
      <c r="I13" s="659">
        <v>2.0396999999999998</v>
      </c>
      <c r="L13" s="707" t="s">
        <v>422</v>
      </c>
      <c r="M13" s="942">
        <f>สพญ.11!J56</f>
        <v>87.617353302329178</v>
      </c>
      <c r="N13" s="943"/>
      <c r="O13" s="943"/>
      <c r="Q13" s="727" t="s">
        <v>420</v>
      </c>
      <c r="R13" s="760">
        <v>66.352693021056837</v>
      </c>
    </row>
    <row r="14" spans="1:19" x14ac:dyDescent="0.5">
      <c r="A14" s="707" t="s">
        <v>420</v>
      </c>
      <c r="B14" s="706">
        <f>สพญ.9!B82</f>
        <v>80</v>
      </c>
      <c r="C14" s="660">
        <f>สพญ.9!M82</f>
        <v>2.6322000000000001</v>
      </c>
      <c r="D14" s="659">
        <f t="shared" si="0"/>
        <v>2.1057600000000001</v>
      </c>
      <c r="F14" s="705" t="s">
        <v>419</v>
      </c>
      <c r="G14" s="660">
        <v>64</v>
      </c>
      <c r="H14" s="660">
        <v>3.0299</v>
      </c>
      <c r="I14" s="659">
        <v>1.939136</v>
      </c>
      <c r="L14" s="707" t="s">
        <v>423</v>
      </c>
      <c r="M14" s="942">
        <f>สพญ.12!J49</f>
        <v>90.422130577823083</v>
      </c>
      <c r="N14" s="943"/>
      <c r="O14" s="943"/>
      <c r="Q14" s="727" t="s">
        <v>417</v>
      </c>
      <c r="R14" s="760">
        <v>41.34566434753097</v>
      </c>
    </row>
    <row r="15" spans="1:19" x14ac:dyDescent="0.5">
      <c r="A15" s="707" t="s">
        <v>421</v>
      </c>
      <c r="B15" s="706">
        <f>สพญ.10!B75</f>
        <v>60</v>
      </c>
      <c r="C15" s="660">
        <f>สพญ.10!M75</f>
        <v>3.0539999999999998</v>
      </c>
      <c r="D15" s="659">
        <f t="shared" si="0"/>
        <v>1.8323999999999998</v>
      </c>
      <c r="F15" s="671" t="s">
        <v>421</v>
      </c>
      <c r="G15" s="660">
        <v>60</v>
      </c>
      <c r="H15" s="660">
        <v>3.0539999999999998</v>
      </c>
      <c r="I15" s="659">
        <v>1.8323999999999998</v>
      </c>
      <c r="J15" s="675" t="s">
        <v>428</v>
      </c>
      <c r="L15" s="757" t="s">
        <v>424</v>
      </c>
      <c r="M15" s="944">
        <f>สพญ.13!J48</f>
        <v>70.105542741315446</v>
      </c>
      <c r="N15" s="945"/>
      <c r="O15" s="945"/>
      <c r="Q15" s="727" t="s">
        <v>415</v>
      </c>
      <c r="R15" s="760">
        <v>35.202964460165063</v>
      </c>
    </row>
    <row r="16" spans="1:19" x14ac:dyDescent="0.5">
      <c r="A16" s="707" t="s">
        <v>422</v>
      </c>
      <c r="B16" s="706">
        <f>สพญ.11!B90</f>
        <v>76</v>
      </c>
      <c r="C16" s="660">
        <f>สพญ.11!M90</f>
        <v>3.9238999999999997</v>
      </c>
      <c r="D16" s="659">
        <f t="shared" si="0"/>
        <v>2.9821639999999996</v>
      </c>
      <c r="F16" s="705" t="s">
        <v>417</v>
      </c>
      <c r="G16" s="660">
        <v>72</v>
      </c>
      <c r="H16" s="660">
        <v>2.5102000000000002</v>
      </c>
      <c r="I16" s="659">
        <v>1.8073440000000003</v>
      </c>
      <c r="L16" s="759"/>
      <c r="M16" s="946"/>
      <c r="N16" s="946"/>
      <c r="O16" s="946"/>
    </row>
    <row r="17" spans="1:15" x14ac:dyDescent="0.5">
      <c r="A17" s="707" t="s">
        <v>423</v>
      </c>
      <c r="B17" s="706">
        <f>สพญ.12!B83</f>
        <v>64</v>
      </c>
      <c r="C17" s="660">
        <f>สพญ.12!M83</f>
        <v>3.6025999999999998</v>
      </c>
      <c r="D17" s="659">
        <f t="shared" si="0"/>
        <v>2.3056639999999997</v>
      </c>
      <c r="F17" s="705" t="s">
        <v>415</v>
      </c>
      <c r="G17" s="660">
        <v>60</v>
      </c>
      <c r="H17" s="660">
        <v>2.3475000000000001</v>
      </c>
      <c r="I17" s="659">
        <v>1.4085000000000003</v>
      </c>
      <c r="L17" s="758"/>
      <c r="M17" s="947" t="s">
        <v>492</v>
      </c>
      <c r="N17" s="947"/>
      <c r="O17" s="947"/>
    </row>
    <row r="18" spans="1:15" x14ac:dyDescent="0.5">
      <c r="A18" s="707" t="s">
        <v>424</v>
      </c>
      <c r="B18" s="706">
        <f>สพญ.13!B82</f>
        <v>72</v>
      </c>
      <c r="C18" s="660">
        <f>สพญ.13!M82</f>
        <v>3.0066000000000006</v>
      </c>
      <c r="D18" s="659">
        <f t="shared" si="0"/>
        <v>2.1647520000000005</v>
      </c>
      <c r="F18" s="671" t="s">
        <v>411</v>
      </c>
      <c r="G18" s="660">
        <v>24</v>
      </c>
      <c r="H18" s="660">
        <v>3.8003</v>
      </c>
      <c r="I18" s="659">
        <v>0.91207199999999999</v>
      </c>
      <c r="L18" s="707" t="s">
        <v>412</v>
      </c>
      <c r="M18" s="942">
        <f>สพญ.1!J62</f>
        <v>0</v>
      </c>
      <c r="N18" s="943"/>
      <c r="O18" s="943"/>
    </row>
    <row r="19" spans="1:15" x14ac:dyDescent="0.5">
      <c r="L19" s="761" t="s">
        <v>413</v>
      </c>
      <c r="M19" s="940">
        <f>สพญ.2!J35</f>
        <v>0</v>
      </c>
      <c r="N19" s="941"/>
      <c r="O19" s="941"/>
    </row>
    <row r="20" spans="1:15" x14ac:dyDescent="0.5">
      <c r="L20" s="707" t="s">
        <v>414</v>
      </c>
      <c r="M20" s="942">
        <f>สพญ.3!J58</f>
        <v>0</v>
      </c>
      <c r="N20" s="943"/>
      <c r="O20" s="943"/>
    </row>
    <row r="21" spans="1:15" x14ac:dyDescent="0.5">
      <c r="L21" s="761" t="s">
        <v>415</v>
      </c>
      <c r="M21" s="940">
        <f>สพญ.4!J24</f>
        <v>97.412469822588903</v>
      </c>
      <c r="N21" s="941"/>
      <c r="O21" s="941"/>
    </row>
    <row r="22" spans="1:15" x14ac:dyDescent="0.5">
      <c r="L22" s="707" t="s">
        <v>416</v>
      </c>
      <c r="M22" s="942">
        <f>สพญ.5!J64</f>
        <v>0</v>
      </c>
      <c r="N22" s="943"/>
      <c r="O22" s="943"/>
    </row>
    <row r="23" spans="1:15" x14ac:dyDescent="0.5">
      <c r="L23" s="707" t="s">
        <v>417</v>
      </c>
      <c r="M23" s="942">
        <f>สพญ.6!J65</f>
        <v>0</v>
      </c>
      <c r="N23" s="943"/>
      <c r="O23" s="943"/>
    </row>
    <row r="24" spans="1:15" x14ac:dyDescent="0.5">
      <c r="L24" s="761" t="s">
        <v>418</v>
      </c>
      <c r="M24" s="940">
        <f>สพญ.7!J24</f>
        <v>99.940620470250295</v>
      </c>
      <c r="N24" s="941"/>
      <c r="O24" s="941"/>
    </row>
    <row r="25" spans="1:15" x14ac:dyDescent="0.5">
      <c r="L25" s="761" t="s">
        <v>419</v>
      </c>
      <c r="M25" s="940">
        <f>สพญ.8!J30</f>
        <v>94.192779571557523</v>
      </c>
      <c r="N25" s="941"/>
      <c r="O25" s="941"/>
    </row>
    <row r="26" spans="1:15" x14ac:dyDescent="0.5">
      <c r="L26" s="707" t="s">
        <v>420</v>
      </c>
      <c r="M26" s="942">
        <f>สพญ.9!J63</f>
        <v>0</v>
      </c>
      <c r="N26" s="943"/>
      <c r="O26" s="943"/>
    </row>
    <row r="27" spans="1:15" x14ac:dyDescent="0.5">
      <c r="L27" s="761" t="s">
        <v>421</v>
      </c>
      <c r="M27" s="940">
        <f>สพญ.10!J30</f>
        <v>99.882952430746855</v>
      </c>
      <c r="N27" s="941"/>
      <c r="O27" s="941"/>
    </row>
    <row r="28" spans="1:15" x14ac:dyDescent="0.5">
      <c r="L28" s="761" t="s">
        <v>422</v>
      </c>
      <c r="M28" s="940">
        <f>สพญ.11!J37</f>
        <v>99.999989900239612</v>
      </c>
      <c r="N28" s="941"/>
      <c r="O28" s="941"/>
    </row>
    <row r="29" spans="1:15" x14ac:dyDescent="0.5">
      <c r="L29" s="761" t="s">
        <v>423</v>
      </c>
      <c r="M29" s="940">
        <f>สพญ.12!J30</f>
        <v>99.999997929461429</v>
      </c>
      <c r="N29" s="941"/>
      <c r="O29" s="941"/>
    </row>
    <row r="30" spans="1:15" x14ac:dyDescent="0.5">
      <c r="L30" s="727" t="s">
        <v>424</v>
      </c>
      <c r="M30" s="942">
        <f>สพญ.13!J63</f>
        <v>0</v>
      </c>
      <c r="N30" s="943"/>
      <c r="O30" s="943"/>
    </row>
  </sheetData>
  <sortState ref="F3:J18">
    <sortCondition descending="1" ref="I3"/>
  </sortState>
  <mergeCells count="30">
    <mergeCell ref="M3:O3"/>
    <mergeCell ref="M4:O4"/>
    <mergeCell ref="M5:O5"/>
    <mergeCell ref="M6:O6"/>
    <mergeCell ref="M7:O7"/>
    <mergeCell ref="Q2:S2"/>
    <mergeCell ref="M19:O19"/>
    <mergeCell ref="M20:O20"/>
    <mergeCell ref="M21:O21"/>
    <mergeCell ref="M14:O14"/>
    <mergeCell ref="M15:O15"/>
    <mergeCell ref="M16:O16"/>
    <mergeCell ref="M17:O17"/>
    <mergeCell ref="M18:O18"/>
    <mergeCell ref="M8:O8"/>
    <mergeCell ref="M9:O9"/>
    <mergeCell ref="M10:O10"/>
    <mergeCell ref="M11:O11"/>
    <mergeCell ref="M12:O12"/>
    <mergeCell ref="M13:O13"/>
    <mergeCell ref="M2:O2"/>
    <mergeCell ref="M28:O28"/>
    <mergeCell ref="M29:O29"/>
    <mergeCell ref="M30:O30"/>
    <mergeCell ref="M22:O22"/>
    <mergeCell ref="M23:O23"/>
    <mergeCell ref="M24:O24"/>
    <mergeCell ref="M25:O25"/>
    <mergeCell ref="M26:O26"/>
    <mergeCell ref="M27:O27"/>
  </mergeCells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O17" sqref="O17"/>
    </sheetView>
  </sheetViews>
  <sheetFormatPr defaultRowHeight="23.25" x14ac:dyDescent="0.35"/>
  <cols>
    <col min="1" max="3" width="9.140625" style="676"/>
    <col min="4" max="4" width="63.5703125" style="676" bestFit="1" customWidth="1"/>
    <col min="5" max="7" width="22.140625" style="702" bestFit="1" customWidth="1"/>
    <col min="8" max="16384" width="9.140625" style="676"/>
  </cols>
  <sheetData>
    <row r="1" spans="1:7" x14ac:dyDescent="0.35">
      <c r="A1" s="960" t="s">
        <v>430</v>
      </c>
      <c r="B1" s="960"/>
      <c r="C1" s="960"/>
      <c r="D1" s="960" t="s">
        <v>431</v>
      </c>
      <c r="E1" s="961" t="s">
        <v>432</v>
      </c>
      <c r="F1" s="961"/>
      <c r="G1" s="961"/>
    </row>
    <row r="2" spans="1:7" x14ac:dyDescent="0.35">
      <c r="A2" s="960"/>
      <c r="B2" s="960"/>
      <c r="C2" s="960"/>
      <c r="D2" s="960"/>
      <c r="E2" s="703" t="s">
        <v>463</v>
      </c>
      <c r="F2" s="703" t="s">
        <v>464</v>
      </c>
      <c r="G2" s="703" t="s">
        <v>465</v>
      </c>
    </row>
    <row r="3" spans="1:7" x14ac:dyDescent="0.35">
      <c r="A3" s="951" t="s">
        <v>323</v>
      </c>
      <c r="B3" s="952"/>
      <c r="C3" s="953"/>
      <c r="D3" s="678"/>
      <c r="E3" s="679"/>
      <c r="F3" s="679"/>
      <c r="G3" s="679"/>
    </row>
    <row r="4" spans="1:7" x14ac:dyDescent="0.35">
      <c r="A4" s="951" t="s">
        <v>410</v>
      </c>
      <c r="B4" s="952"/>
      <c r="C4" s="953"/>
      <c r="D4" s="680" t="s">
        <v>433</v>
      </c>
      <c r="E4" s="679"/>
      <c r="F4" s="679"/>
      <c r="G4" s="679" t="s">
        <v>434</v>
      </c>
    </row>
    <row r="5" spans="1:7" x14ac:dyDescent="0.35">
      <c r="A5" s="681"/>
      <c r="B5" s="682"/>
      <c r="C5" s="683"/>
      <c r="D5" s="684" t="s">
        <v>435</v>
      </c>
      <c r="E5" s="685"/>
      <c r="F5" s="685"/>
      <c r="G5" s="685"/>
    </row>
    <row r="6" spans="1:7" x14ac:dyDescent="0.35">
      <c r="A6" s="948" t="s">
        <v>411</v>
      </c>
      <c r="B6" s="949"/>
      <c r="C6" s="950"/>
      <c r="D6" s="686" t="s">
        <v>436</v>
      </c>
      <c r="E6" s="687"/>
      <c r="F6" s="687"/>
      <c r="G6" s="687" t="s">
        <v>437</v>
      </c>
    </row>
    <row r="7" spans="1:7" x14ac:dyDescent="0.35">
      <c r="A7" s="681"/>
      <c r="B7" s="682"/>
      <c r="C7" s="683"/>
      <c r="D7" s="688" t="s">
        <v>438</v>
      </c>
      <c r="E7" s="685"/>
      <c r="F7" s="685"/>
      <c r="G7" s="685"/>
    </row>
    <row r="8" spans="1:7" x14ac:dyDescent="0.35">
      <c r="A8" s="948" t="s">
        <v>439</v>
      </c>
      <c r="B8" s="949"/>
      <c r="C8" s="949"/>
      <c r="D8" s="686" t="s">
        <v>440</v>
      </c>
      <c r="E8" s="689"/>
      <c r="F8" s="689" t="s">
        <v>441</v>
      </c>
      <c r="G8" s="687"/>
    </row>
    <row r="9" spans="1:7" x14ac:dyDescent="0.35">
      <c r="A9" s="954"/>
      <c r="B9" s="955"/>
      <c r="C9" s="955"/>
      <c r="D9" s="688" t="s">
        <v>442</v>
      </c>
      <c r="E9" s="690"/>
      <c r="F9" s="690"/>
      <c r="G9" s="685"/>
    </row>
    <row r="10" spans="1:7" x14ac:dyDescent="0.35">
      <c r="A10" s="954" t="s">
        <v>443</v>
      </c>
      <c r="B10" s="955"/>
      <c r="C10" s="956"/>
      <c r="D10" s="691"/>
      <c r="E10" s="685"/>
      <c r="F10" s="685"/>
      <c r="G10" s="685"/>
    </row>
    <row r="11" spans="1:7" x14ac:dyDescent="0.35">
      <c r="A11" s="957" t="s">
        <v>219</v>
      </c>
      <c r="B11" s="958"/>
      <c r="C11" s="959"/>
      <c r="D11" s="692"/>
      <c r="E11" s="677"/>
      <c r="F11" s="677"/>
      <c r="G11" s="677"/>
    </row>
    <row r="12" spans="1:7" x14ac:dyDescent="0.35">
      <c r="A12" s="957" t="s">
        <v>295</v>
      </c>
      <c r="B12" s="958"/>
      <c r="C12" s="959"/>
      <c r="D12" s="692"/>
      <c r="E12" s="677"/>
      <c r="F12" s="677"/>
      <c r="G12" s="677"/>
    </row>
    <row r="13" spans="1:7" x14ac:dyDescent="0.35">
      <c r="A13" s="951" t="s">
        <v>220</v>
      </c>
      <c r="B13" s="952"/>
      <c r="C13" s="953"/>
      <c r="D13" s="678"/>
      <c r="E13" s="679"/>
      <c r="F13" s="679"/>
      <c r="G13" s="679"/>
    </row>
    <row r="14" spans="1:7" x14ac:dyDescent="0.35">
      <c r="A14" s="951" t="s">
        <v>221</v>
      </c>
      <c r="B14" s="952"/>
      <c r="C14" s="953"/>
      <c r="D14" s="680" t="s">
        <v>444</v>
      </c>
      <c r="E14" s="693"/>
      <c r="F14" s="679"/>
      <c r="G14" s="679" t="s">
        <v>445</v>
      </c>
    </row>
    <row r="15" spans="1:7" x14ac:dyDescent="0.35">
      <c r="A15" s="948"/>
      <c r="B15" s="949"/>
      <c r="C15" s="950"/>
      <c r="D15" s="694" t="s">
        <v>446</v>
      </c>
      <c r="E15" s="689"/>
      <c r="F15" s="689"/>
      <c r="G15" s="687"/>
    </row>
    <row r="16" spans="1:7" x14ac:dyDescent="0.35">
      <c r="A16" s="954"/>
      <c r="B16" s="955"/>
      <c r="C16" s="956"/>
      <c r="D16" s="684" t="s">
        <v>447</v>
      </c>
      <c r="E16" s="690"/>
      <c r="F16" s="690"/>
      <c r="G16" s="685"/>
    </row>
    <row r="17" spans="1:7" x14ac:dyDescent="0.35">
      <c r="A17" s="948" t="s">
        <v>291</v>
      </c>
      <c r="B17" s="949"/>
      <c r="C17" s="950"/>
      <c r="D17" s="691"/>
      <c r="E17" s="685"/>
      <c r="F17" s="685"/>
      <c r="G17" s="687"/>
    </row>
    <row r="18" spans="1:7" x14ac:dyDescent="0.35">
      <c r="A18" s="951" t="s">
        <v>292</v>
      </c>
      <c r="B18" s="952"/>
      <c r="C18" s="953"/>
      <c r="D18" s="695" t="s">
        <v>448</v>
      </c>
      <c r="E18" s="679"/>
      <c r="F18" s="693" t="s">
        <v>445</v>
      </c>
      <c r="G18" s="679"/>
    </row>
    <row r="19" spans="1:7" x14ac:dyDescent="0.35">
      <c r="A19" s="696"/>
      <c r="B19" s="697"/>
      <c r="C19" s="698"/>
      <c r="D19" s="699" t="s">
        <v>449</v>
      </c>
      <c r="E19" s="687"/>
      <c r="F19" s="689"/>
      <c r="G19" s="687"/>
    </row>
    <row r="20" spans="1:7" x14ac:dyDescent="0.35">
      <c r="A20" s="696"/>
      <c r="B20" s="697"/>
      <c r="C20" s="698"/>
      <c r="D20" s="699" t="s">
        <v>450</v>
      </c>
      <c r="E20" s="687"/>
      <c r="F20" s="689"/>
      <c r="G20" s="687"/>
    </row>
    <row r="21" spans="1:7" x14ac:dyDescent="0.35">
      <c r="A21" s="696"/>
      <c r="B21" s="697"/>
      <c r="C21" s="698"/>
      <c r="D21" s="699" t="s">
        <v>451</v>
      </c>
      <c r="E21" s="687"/>
      <c r="F21" s="689"/>
      <c r="G21" s="687"/>
    </row>
    <row r="22" spans="1:7" x14ac:dyDescent="0.35">
      <c r="A22" s="681"/>
      <c r="B22" s="682"/>
      <c r="C22" s="683"/>
      <c r="D22" s="700" t="s">
        <v>452</v>
      </c>
      <c r="E22" s="685"/>
      <c r="F22" s="690"/>
      <c r="G22" s="685"/>
    </row>
    <row r="23" spans="1:7" x14ac:dyDescent="0.35">
      <c r="A23" s="957" t="s">
        <v>222</v>
      </c>
      <c r="B23" s="958"/>
      <c r="C23" s="959"/>
      <c r="D23" s="692"/>
      <c r="E23" s="677"/>
      <c r="F23" s="677"/>
      <c r="G23" s="677"/>
    </row>
    <row r="24" spans="1:7" x14ac:dyDescent="0.35">
      <c r="A24" s="948" t="s">
        <v>223</v>
      </c>
      <c r="B24" s="949"/>
      <c r="C24" s="949"/>
      <c r="D24" s="686" t="s">
        <v>453</v>
      </c>
      <c r="E24" s="689"/>
      <c r="F24" s="689" t="s">
        <v>454</v>
      </c>
      <c r="G24" s="687" t="s">
        <v>455</v>
      </c>
    </row>
    <row r="25" spans="1:7" x14ac:dyDescent="0.35">
      <c r="A25" s="681"/>
      <c r="B25" s="682"/>
      <c r="C25" s="682"/>
      <c r="D25" s="688" t="s">
        <v>456</v>
      </c>
      <c r="E25" s="690"/>
      <c r="F25" s="690"/>
      <c r="G25" s="685"/>
    </row>
    <row r="26" spans="1:7" x14ac:dyDescent="0.35">
      <c r="A26" s="948" t="s">
        <v>224</v>
      </c>
      <c r="B26" s="949"/>
      <c r="C26" s="950"/>
      <c r="D26" s="701" t="s">
        <v>457</v>
      </c>
      <c r="E26" s="687"/>
      <c r="F26" s="687"/>
      <c r="G26" s="687" t="s">
        <v>458</v>
      </c>
    </row>
    <row r="27" spans="1:7" x14ac:dyDescent="0.35">
      <c r="A27" s="951" t="s">
        <v>294</v>
      </c>
      <c r="B27" s="952"/>
      <c r="C27" s="953"/>
      <c r="D27" s="680" t="s">
        <v>459</v>
      </c>
      <c r="E27" s="693"/>
      <c r="F27" s="693" t="s">
        <v>460</v>
      </c>
      <c r="G27" s="679" t="s">
        <v>461</v>
      </c>
    </row>
    <row r="28" spans="1:7" x14ac:dyDescent="0.35">
      <c r="A28" s="681"/>
      <c r="B28" s="682"/>
      <c r="C28" s="683"/>
      <c r="D28" s="684" t="s">
        <v>462</v>
      </c>
      <c r="E28" s="690"/>
      <c r="F28" s="690"/>
      <c r="G28" s="685"/>
    </row>
    <row r="29" spans="1:7" x14ac:dyDescent="0.35">
      <c r="A29" s="954" t="s">
        <v>225</v>
      </c>
      <c r="B29" s="955"/>
      <c r="C29" s="956"/>
      <c r="D29" s="691"/>
      <c r="E29" s="685"/>
      <c r="F29" s="685"/>
      <c r="G29" s="685"/>
    </row>
    <row r="30" spans="1:7" x14ac:dyDescent="0.35">
      <c r="E30" s="676"/>
      <c r="F30" s="676"/>
      <c r="G30" s="676"/>
    </row>
  </sheetData>
  <mergeCells count="22">
    <mergeCell ref="A13:C13"/>
    <mergeCell ref="A1:C2"/>
    <mergeCell ref="D1:D2"/>
    <mergeCell ref="E1:G1"/>
    <mergeCell ref="A3:C3"/>
    <mergeCell ref="A4:C4"/>
    <mergeCell ref="A6:C6"/>
    <mergeCell ref="A8:C8"/>
    <mergeCell ref="A9:C9"/>
    <mergeCell ref="A10:C10"/>
    <mergeCell ref="A11:C11"/>
    <mergeCell ref="A12:C12"/>
    <mergeCell ref="A24:C24"/>
    <mergeCell ref="A26:C26"/>
    <mergeCell ref="A27:C27"/>
    <mergeCell ref="A29:C29"/>
    <mergeCell ref="A14:C14"/>
    <mergeCell ref="A15:C15"/>
    <mergeCell ref="A16:C16"/>
    <mergeCell ref="A17:C17"/>
    <mergeCell ref="A18:C18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 x14ac:dyDescent="0.5">
      <c r="A1" s="837" t="s">
        <v>0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</row>
    <row r="2" spans="1:16" ht="27.75" x14ac:dyDescent="0.5">
      <c r="A2" s="837" t="s">
        <v>45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</row>
    <row r="3" spans="1:16" ht="26.25" customHeight="1" x14ac:dyDescent="0.5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 x14ac:dyDescent="0.5">
      <c r="A4" s="32" t="s">
        <v>1</v>
      </c>
      <c r="B4" s="32" t="s">
        <v>2</v>
      </c>
      <c r="C4" s="839" t="s">
        <v>3</v>
      </c>
      <c r="D4" s="839"/>
      <c r="E4" s="839"/>
      <c r="F4" s="839"/>
      <c r="G4" s="839"/>
      <c r="H4" s="840" t="s">
        <v>4</v>
      </c>
      <c r="I4" s="841"/>
      <c r="J4" s="841"/>
      <c r="K4" s="842"/>
      <c r="L4" s="846" t="s">
        <v>5</v>
      </c>
      <c r="M4" s="33" t="s">
        <v>6</v>
      </c>
    </row>
    <row r="5" spans="1:16" s="34" customFormat="1" ht="24.75" customHeight="1" x14ac:dyDescent="0.5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843"/>
      <c r="I5" s="844"/>
      <c r="J5" s="844"/>
      <c r="K5" s="845"/>
      <c r="L5" s="846"/>
      <c r="M5" s="37" t="s">
        <v>9</v>
      </c>
    </row>
    <row r="6" spans="1:16" ht="23.25" customHeight="1" x14ac:dyDescent="0.5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 x14ac:dyDescent="0.5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830" t="s">
        <v>14</v>
      </c>
      <c r="I9" s="831"/>
      <c r="J9" s="832" t="s">
        <v>15</v>
      </c>
      <c r="K9" s="832"/>
      <c r="L9" s="114">
        <v>1</v>
      </c>
      <c r="M9" s="61">
        <f>IF(L9=0,"-",L9*B9/B$94)</f>
        <v>0.1</v>
      </c>
      <c r="O9" s="41"/>
      <c r="P9" s="42"/>
    </row>
    <row r="10" spans="1:16" ht="23.25" customHeight="1" x14ac:dyDescent="0.5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830"/>
      <c r="I10" s="831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 x14ac:dyDescent="0.5">
      <c r="A11" s="40"/>
      <c r="B11" s="3"/>
      <c r="C11" s="10"/>
      <c r="D11" s="10"/>
      <c r="E11" s="10"/>
      <c r="F11" s="10"/>
      <c r="G11" s="10"/>
      <c r="H11" s="833" t="s">
        <v>19</v>
      </c>
      <c r="I11" s="834"/>
      <c r="J11" s="73">
        <v>19000</v>
      </c>
      <c r="K11" s="64">
        <v>5000</v>
      </c>
      <c r="L11" s="115"/>
      <c r="M11" s="62"/>
    </row>
    <row r="12" spans="1:16" ht="23.25" customHeight="1" x14ac:dyDescent="0.5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2"/>
      <c r="D13" s="12"/>
      <c r="E13" s="12"/>
      <c r="F13" s="12"/>
      <c r="G13" s="12"/>
      <c r="H13" s="835" t="s">
        <v>42</v>
      </c>
      <c r="I13" s="836"/>
      <c r="J13" s="86"/>
      <c r="K13" s="87"/>
      <c r="L13" s="115"/>
      <c r="M13" s="62"/>
    </row>
    <row r="14" spans="1:16" ht="23.25" customHeight="1" x14ac:dyDescent="0.5">
      <c r="A14" s="40"/>
      <c r="B14" s="5"/>
      <c r="C14" s="12"/>
      <c r="D14" s="12"/>
      <c r="E14" s="12"/>
      <c r="F14" s="12"/>
      <c r="G14" s="12"/>
      <c r="H14" s="847" t="s">
        <v>43</v>
      </c>
      <c r="I14" s="848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2"/>
      <c r="D15" s="12"/>
      <c r="E15" s="12"/>
      <c r="F15" s="12"/>
      <c r="G15" s="12"/>
      <c r="H15" s="849" t="s">
        <v>20</v>
      </c>
      <c r="I15" s="849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 x14ac:dyDescent="0.5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853" t="s">
        <v>46</v>
      </c>
      <c r="I17" s="850"/>
      <c r="J17" s="850"/>
      <c r="K17" s="851"/>
      <c r="L17" s="114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2"/>
      <c r="D18" s="12"/>
      <c r="E18" s="12"/>
      <c r="F18" s="12"/>
      <c r="G18" s="12"/>
      <c r="H18" s="835" t="s">
        <v>47</v>
      </c>
      <c r="I18" s="852"/>
      <c r="J18" s="852"/>
      <c r="K18" s="836"/>
      <c r="L18" s="115"/>
      <c r="M18" s="62"/>
    </row>
    <row r="19" spans="1:13" ht="23.25" customHeight="1" x14ac:dyDescent="0.5">
      <c r="A19" s="44"/>
      <c r="B19" s="5"/>
      <c r="C19" s="12"/>
      <c r="D19" s="12"/>
      <c r="E19" s="12"/>
      <c r="F19" s="12"/>
      <c r="G19" s="12"/>
      <c r="H19" s="835" t="s">
        <v>48</v>
      </c>
      <c r="I19" s="852"/>
      <c r="J19" s="852"/>
      <c r="K19" s="836"/>
      <c r="L19" s="115"/>
      <c r="M19" s="62"/>
    </row>
    <row r="20" spans="1:13" ht="23.25" customHeight="1" x14ac:dyDescent="0.5">
      <c r="A20" s="44"/>
      <c r="B20" s="5"/>
      <c r="C20" s="12"/>
      <c r="D20" s="12"/>
      <c r="E20" s="12"/>
      <c r="F20" s="12"/>
      <c r="G20" s="12"/>
      <c r="H20" s="835" t="s">
        <v>49</v>
      </c>
      <c r="I20" s="852"/>
      <c r="J20" s="852"/>
      <c r="K20" s="836"/>
      <c r="L20" s="115"/>
      <c r="M20" s="62"/>
    </row>
    <row r="21" spans="1:13" ht="23.25" customHeight="1" x14ac:dyDescent="0.5">
      <c r="A21" s="44"/>
      <c r="B21" s="5"/>
      <c r="C21" s="12"/>
      <c r="D21" s="12"/>
      <c r="E21" s="12"/>
      <c r="F21" s="12"/>
      <c r="G21" s="12"/>
      <c r="H21" s="835" t="s">
        <v>50</v>
      </c>
      <c r="I21" s="852"/>
      <c r="J21" s="852"/>
      <c r="K21" s="836"/>
      <c r="L21" s="115"/>
      <c r="M21" s="62"/>
    </row>
    <row r="22" spans="1:13" ht="23.25" customHeight="1" x14ac:dyDescent="0.5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 x14ac:dyDescent="0.5">
      <c r="A23" s="45"/>
      <c r="B23" s="14"/>
      <c r="C23" s="6"/>
      <c r="D23" s="6"/>
      <c r="E23" s="6"/>
      <c r="F23" s="6"/>
      <c r="G23" s="6"/>
      <c r="H23" s="854"/>
      <c r="I23" s="855"/>
      <c r="J23" s="855"/>
      <c r="K23" s="856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850" t="s">
        <v>82</v>
      </c>
      <c r="I24" s="850"/>
      <c r="J24" s="850"/>
      <c r="K24" s="851"/>
      <c r="L24" s="114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2"/>
      <c r="D25" s="12"/>
      <c r="E25" s="12"/>
      <c r="F25" s="12"/>
      <c r="G25" s="12"/>
      <c r="H25" s="835" t="s">
        <v>83</v>
      </c>
      <c r="I25" s="852"/>
      <c r="J25" s="852"/>
      <c r="K25" s="836"/>
      <c r="L25" s="115"/>
      <c r="M25" s="62"/>
    </row>
    <row r="26" spans="1:13" ht="23.25" customHeight="1" x14ac:dyDescent="0.5">
      <c r="A26" s="46"/>
      <c r="B26" s="5"/>
      <c r="C26" s="12"/>
      <c r="D26" s="12"/>
      <c r="E26" s="12"/>
      <c r="F26" s="12"/>
      <c r="G26" s="12"/>
      <c r="H26" s="835" t="s">
        <v>55</v>
      </c>
      <c r="I26" s="852"/>
      <c r="J26" s="852"/>
      <c r="K26" s="836"/>
      <c r="L26" s="115"/>
      <c r="M26" s="62"/>
    </row>
    <row r="27" spans="1:13" ht="23.25" customHeight="1" x14ac:dyDescent="0.5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 x14ac:dyDescent="0.5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853" t="s">
        <v>57</v>
      </c>
      <c r="I29" s="850"/>
      <c r="J29" s="850"/>
      <c r="K29" s="851"/>
      <c r="L29" s="114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2"/>
      <c r="D30" s="12"/>
      <c r="E30" s="12"/>
      <c r="F30" s="12"/>
      <c r="G30" s="12"/>
      <c r="H30" s="835" t="s">
        <v>58</v>
      </c>
      <c r="I30" s="852"/>
      <c r="J30" s="852"/>
      <c r="K30" s="836"/>
      <c r="L30" s="115"/>
      <c r="M30" s="62"/>
    </row>
    <row r="31" spans="1:13" ht="24.75" customHeight="1" x14ac:dyDescent="0.5">
      <c r="A31" s="40" t="s">
        <v>24</v>
      </c>
      <c r="B31" s="5"/>
      <c r="C31" s="12"/>
      <c r="D31" s="12"/>
      <c r="E31" s="12"/>
      <c r="F31" s="12"/>
      <c r="G31" s="12"/>
      <c r="H31" s="835" t="s">
        <v>77</v>
      </c>
      <c r="I31" s="852"/>
      <c r="J31" s="852"/>
      <c r="K31" s="836"/>
      <c r="L31" s="115"/>
      <c r="M31" s="62"/>
    </row>
    <row r="32" spans="1:13" ht="24.75" customHeight="1" x14ac:dyDescent="0.5">
      <c r="A32" s="46"/>
      <c r="B32" s="5"/>
      <c r="C32" s="12"/>
      <c r="D32" s="12"/>
      <c r="E32" s="12"/>
      <c r="F32" s="12"/>
      <c r="G32" s="12"/>
      <c r="H32" s="835" t="s">
        <v>59</v>
      </c>
      <c r="I32" s="852"/>
      <c r="J32" s="852"/>
      <c r="K32" s="836"/>
      <c r="L32" s="115"/>
      <c r="M32" s="62"/>
    </row>
    <row r="33" spans="1:13" ht="24.75" customHeight="1" x14ac:dyDescent="0.5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 x14ac:dyDescent="0.5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853" t="s">
        <v>73</v>
      </c>
      <c r="I35" s="850"/>
      <c r="J35" s="850"/>
      <c r="K35" s="851"/>
      <c r="L35" s="114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2"/>
      <c r="D36" s="12"/>
      <c r="E36" s="12"/>
      <c r="F36" s="12"/>
      <c r="G36" s="12"/>
      <c r="H36" s="858" t="s">
        <v>74</v>
      </c>
      <c r="I36" s="859"/>
      <c r="J36" s="859"/>
      <c r="K36" s="860"/>
      <c r="L36" s="115"/>
      <c r="M36" s="62"/>
    </row>
    <row r="37" spans="1:13" ht="24.75" customHeight="1" x14ac:dyDescent="0.5">
      <c r="A37" s="46"/>
      <c r="B37" s="5"/>
      <c r="C37" s="12"/>
      <c r="D37" s="12"/>
      <c r="E37" s="12"/>
      <c r="F37" s="12"/>
      <c r="G37" s="12"/>
      <c r="H37" s="858" t="s">
        <v>75</v>
      </c>
      <c r="I37" s="859"/>
      <c r="J37" s="859"/>
      <c r="K37" s="860"/>
      <c r="L37" s="115"/>
      <c r="M37" s="62"/>
    </row>
    <row r="38" spans="1:13" ht="24.75" customHeight="1" x14ac:dyDescent="0.5">
      <c r="A38" s="46"/>
      <c r="B38" s="5"/>
      <c r="C38" s="12"/>
      <c r="D38" s="12"/>
      <c r="E38" s="12"/>
      <c r="F38" s="12"/>
      <c r="G38" s="12"/>
      <c r="H38" s="858" t="s">
        <v>76</v>
      </c>
      <c r="I38" s="861"/>
      <c r="J38" s="861"/>
      <c r="K38" s="862"/>
      <c r="L38" s="115"/>
      <c r="M38" s="62"/>
    </row>
    <row r="39" spans="1:13" ht="24.75" customHeight="1" x14ac:dyDescent="0.5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 x14ac:dyDescent="0.5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853" t="s">
        <v>62</v>
      </c>
      <c r="I41" s="850"/>
      <c r="J41" s="850"/>
      <c r="K41" s="851"/>
      <c r="L41" s="114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835" t="s">
        <v>63</v>
      </c>
      <c r="I42" s="852"/>
      <c r="J42" s="852"/>
      <c r="K42" s="836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835" t="s">
        <v>64</v>
      </c>
      <c r="I43" s="852"/>
      <c r="J43" s="852"/>
      <c r="K43" s="836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857"/>
      <c r="I48" s="855"/>
      <c r="J48" s="855"/>
      <c r="K48" s="856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853" t="s">
        <v>78</v>
      </c>
      <c r="I49" s="850"/>
      <c r="J49" s="850"/>
      <c r="K49" s="851"/>
      <c r="L49" s="114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852" t="s">
        <v>79</v>
      </c>
      <c r="I50" s="852"/>
      <c r="J50" s="852"/>
      <c r="K50" s="836"/>
      <c r="L50" s="115"/>
      <c r="M50" s="62"/>
    </row>
    <row r="51" spans="1:13" ht="24.75" customHeight="1" x14ac:dyDescent="0.5">
      <c r="A51" s="40"/>
      <c r="B51" s="3"/>
      <c r="C51" s="18"/>
      <c r="D51" s="18"/>
      <c r="E51" s="18"/>
      <c r="F51" s="18" t="s">
        <v>71</v>
      </c>
      <c r="G51" s="18" t="s">
        <v>72</v>
      </c>
      <c r="H51" s="852" t="s">
        <v>80</v>
      </c>
      <c r="I51" s="852"/>
      <c r="J51" s="852"/>
      <c r="K51" s="836"/>
      <c r="L51" s="115"/>
      <c r="M51" s="62"/>
    </row>
    <row r="52" spans="1:13" ht="24.75" customHeight="1" x14ac:dyDescent="0.5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 x14ac:dyDescent="0.5">
      <c r="A53" s="50"/>
      <c r="B53" s="14"/>
      <c r="C53" s="6"/>
      <c r="D53" s="6"/>
      <c r="E53" s="6"/>
      <c r="F53" s="6"/>
      <c r="G53" s="6"/>
      <c r="H53" s="857"/>
      <c r="I53" s="863"/>
      <c r="J53" s="863"/>
      <c r="K53" s="864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853" t="s">
        <v>99</v>
      </c>
      <c r="I54" s="850"/>
      <c r="J54" s="850"/>
      <c r="K54" s="851"/>
      <c r="L54" s="114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835" t="s">
        <v>100</v>
      </c>
      <c r="I55" s="852"/>
      <c r="J55" s="852"/>
      <c r="K55" s="836"/>
      <c r="L55" s="115"/>
      <c r="M55" s="62"/>
    </row>
    <row r="56" spans="1:13" ht="24.75" customHeight="1" x14ac:dyDescent="0.5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 x14ac:dyDescent="0.5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 x14ac:dyDescent="0.5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 x14ac:dyDescent="0.5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853" t="s">
        <v>92</v>
      </c>
      <c r="I60" s="850"/>
      <c r="J60" s="850"/>
      <c r="K60" s="851"/>
      <c r="L60" s="114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1"/>
      <c r="D61" s="21"/>
      <c r="E61" s="21"/>
      <c r="F61" s="21"/>
      <c r="G61" s="21"/>
      <c r="H61" s="835" t="s">
        <v>93</v>
      </c>
      <c r="I61" s="852"/>
      <c r="J61" s="852"/>
      <c r="K61" s="836"/>
      <c r="L61" s="115"/>
      <c r="M61" s="62"/>
    </row>
    <row r="62" spans="1:13" ht="24.75" customHeight="1" x14ac:dyDescent="0.5">
      <c r="A62" s="40" t="s">
        <v>91</v>
      </c>
      <c r="B62" s="5"/>
      <c r="C62" s="12"/>
      <c r="D62" s="12"/>
      <c r="E62" s="12"/>
      <c r="F62" s="12"/>
      <c r="G62" s="12"/>
      <c r="H62" s="835" t="s">
        <v>94</v>
      </c>
      <c r="I62" s="852"/>
      <c r="J62" s="852"/>
      <c r="K62" s="836"/>
      <c r="L62" s="115"/>
      <c r="M62" s="62"/>
    </row>
    <row r="63" spans="1:13" ht="24.75" customHeight="1" x14ac:dyDescent="0.5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 x14ac:dyDescent="0.5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 x14ac:dyDescent="0.5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 x14ac:dyDescent="0.5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 x14ac:dyDescent="0.5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853" t="s">
        <v>103</v>
      </c>
      <c r="I68" s="850"/>
      <c r="J68" s="850"/>
      <c r="K68" s="851"/>
      <c r="L68" s="114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835" t="s">
        <v>104</v>
      </c>
      <c r="I69" s="852"/>
      <c r="J69" s="852"/>
      <c r="K69" s="836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835" t="s">
        <v>105</v>
      </c>
      <c r="I70" s="852"/>
      <c r="J70" s="852"/>
      <c r="K70" s="836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53" t="s">
        <v>108</v>
      </c>
      <c r="I73" s="850"/>
      <c r="J73" s="850"/>
      <c r="K73" s="851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35" t="s">
        <v>109</v>
      </c>
      <c r="I74" s="852"/>
      <c r="J74" s="852"/>
      <c r="K74" s="836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835" t="s">
        <v>110</v>
      </c>
      <c r="I75" s="852"/>
      <c r="J75" s="852"/>
      <c r="K75" s="836"/>
      <c r="L75" s="115"/>
      <c r="M75" s="62"/>
      <c r="P75" s="52"/>
      <c r="Q75" s="5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835" t="s">
        <v>111</v>
      </c>
      <c r="I76" s="852"/>
      <c r="J76" s="852"/>
      <c r="K76" s="836"/>
      <c r="L76" s="115"/>
      <c r="M76" s="62"/>
      <c r="P76" s="52"/>
      <c r="Q76" s="5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853" t="s">
        <v>123</v>
      </c>
      <c r="I79" s="850"/>
      <c r="J79" s="850"/>
      <c r="K79" s="851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853" t="s">
        <v>117</v>
      </c>
      <c r="I86" s="850"/>
      <c r="J86" s="850"/>
      <c r="K86" s="851"/>
      <c r="L86" s="114">
        <v>3.5714000000000001</v>
      </c>
      <c r="M86" s="61">
        <f>IF(L86=0,"-",L86*B86/B$94)</f>
        <v>0.17857000000000001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835" t="s">
        <v>118</v>
      </c>
      <c r="I87" s="852"/>
      <c r="J87" s="852"/>
      <c r="K87" s="836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835" t="s">
        <v>119</v>
      </c>
      <c r="I88" s="852"/>
      <c r="J88" s="852"/>
      <c r="K88" s="836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865" t="s">
        <v>129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7"/>
      <c r="M93" s="67">
        <f>SUM(M86,M79,M73,M68,M60,M54,M49,M41,M35,M29,M24,M17,M9,M6)</f>
        <v>1.444826684491979</v>
      </c>
    </row>
    <row r="94" spans="1:32" x14ac:dyDescent="0.5">
      <c r="B94" s="82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868" t="s">
        <v>0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</row>
    <row r="2" spans="1:16" ht="27.75" x14ac:dyDescent="0.5">
      <c r="A2" s="868" t="s">
        <v>45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</row>
    <row r="3" spans="1:16" ht="26.25" customHeight="1" x14ac:dyDescent="0.5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870" t="s">
        <v>3</v>
      </c>
      <c r="D4" s="870"/>
      <c r="E4" s="870"/>
      <c r="F4" s="870"/>
      <c r="G4" s="870"/>
      <c r="H4" s="871" t="s">
        <v>4</v>
      </c>
      <c r="I4" s="872"/>
      <c r="J4" s="872"/>
      <c r="K4" s="873"/>
      <c r="L4" s="877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874"/>
      <c r="I5" s="875"/>
      <c r="J5" s="875"/>
      <c r="K5" s="876"/>
      <c r="L5" s="877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830" t="s">
        <v>14</v>
      </c>
      <c r="I9" s="831"/>
      <c r="J9" s="832" t="s">
        <v>15</v>
      </c>
      <c r="K9" s="832"/>
      <c r="L9" s="243">
        <v>1</v>
      </c>
      <c r="M9" s="61">
        <f>IF(L9=0,"-",L9*B9/B$94)</f>
        <v>0.1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830"/>
      <c r="I10" s="831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833" t="s">
        <v>19</v>
      </c>
      <c r="I11" s="834"/>
      <c r="J11" s="73">
        <v>19000</v>
      </c>
      <c r="K11" s="64">
        <f>[4]กส14!$K$11</f>
        <v>10000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835" t="s">
        <v>42</v>
      </c>
      <c r="I13" s="836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847" t="s">
        <v>43</v>
      </c>
      <c r="I14" s="848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849" t="s">
        <v>20</v>
      </c>
      <c r="I15" s="849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853" t="s">
        <v>46</v>
      </c>
      <c r="I17" s="850"/>
      <c r="J17" s="850"/>
      <c r="K17" s="851"/>
      <c r="L17" s="243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835" t="s">
        <v>47</v>
      </c>
      <c r="I18" s="852"/>
      <c r="J18" s="852"/>
      <c r="K18" s="836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835" t="s">
        <v>48</v>
      </c>
      <c r="I19" s="852"/>
      <c r="J19" s="852"/>
      <c r="K19" s="836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835" t="s">
        <v>49</v>
      </c>
      <c r="I20" s="852"/>
      <c r="J20" s="852"/>
      <c r="K20" s="836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835" t="s">
        <v>50</v>
      </c>
      <c r="I21" s="852"/>
      <c r="J21" s="852"/>
      <c r="K21" s="836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854"/>
      <c r="I23" s="855"/>
      <c r="J23" s="855"/>
      <c r="K23" s="856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850" t="s">
        <v>82</v>
      </c>
      <c r="I24" s="850"/>
      <c r="J24" s="850"/>
      <c r="K24" s="851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835" t="s">
        <v>83</v>
      </c>
      <c r="I25" s="852"/>
      <c r="J25" s="852"/>
      <c r="K25" s="836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835" t="s">
        <v>55</v>
      </c>
      <c r="I26" s="852"/>
      <c r="J26" s="852"/>
      <c r="K26" s="836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853" t="s">
        <v>57</v>
      </c>
      <c r="I29" s="850"/>
      <c r="J29" s="850"/>
      <c r="K29" s="851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835" t="s">
        <v>58</v>
      </c>
      <c r="I30" s="852"/>
      <c r="J30" s="852"/>
      <c r="K30" s="836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835" t="s">
        <v>77</v>
      </c>
      <c r="I31" s="852"/>
      <c r="J31" s="852"/>
      <c r="K31" s="836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835" t="s">
        <v>59</v>
      </c>
      <c r="I32" s="852"/>
      <c r="J32" s="852"/>
      <c r="K32" s="836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853" t="s">
        <v>73</v>
      </c>
      <c r="I35" s="850"/>
      <c r="J35" s="850"/>
      <c r="K35" s="851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858" t="s">
        <v>74</v>
      </c>
      <c r="I36" s="859"/>
      <c r="J36" s="859"/>
      <c r="K36" s="860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858" t="s">
        <v>75</v>
      </c>
      <c r="I37" s="859"/>
      <c r="J37" s="859"/>
      <c r="K37" s="860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858" t="s">
        <v>76</v>
      </c>
      <c r="I38" s="861"/>
      <c r="J38" s="861"/>
      <c r="K38" s="862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853" t="s">
        <v>62</v>
      </c>
      <c r="I41" s="850"/>
      <c r="J41" s="850"/>
      <c r="K41" s="851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835" t="s">
        <v>63</v>
      </c>
      <c r="I42" s="852"/>
      <c r="J42" s="852"/>
      <c r="K42" s="836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835" t="s">
        <v>64</v>
      </c>
      <c r="I43" s="852"/>
      <c r="J43" s="852"/>
      <c r="K43" s="836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857"/>
      <c r="I48" s="855"/>
      <c r="J48" s="855"/>
      <c r="K48" s="856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853" t="s">
        <v>78</v>
      </c>
      <c r="I49" s="850"/>
      <c r="J49" s="850"/>
      <c r="K49" s="851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852" t="s">
        <v>79</v>
      </c>
      <c r="I50" s="852"/>
      <c r="J50" s="852"/>
      <c r="K50" s="836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852" t="s">
        <v>80</v>
      </c>
      <c r="I51" s="852"/>
      <c r="J51" s="852"/>
      <c r="K51" s="836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857"/>
      <c r="I53" s="863"/>
      <c r="J53" s="863"/>
      <c r="K53" s="864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853" t="s">
        <v>99</v>
      </c>
      <c r="I54" s="850"/>
      <c r="J54" s="850"/>
      <c r="K54" s="851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835" t="s">
        <v>100</v>
      </c>
      <c r="I55" s="852"/>
      <c r="J55" s="852"/>
      <c r="K55" s="836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853" t="s">
        <v>92</v>
      </c>
      <c r="I60" s="850"/>
      <c r="J60" s="850"/>
      <c r="K60" s="851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835" t="s">
        <v>93</v>
      </c>
      <c r="I61" s="852"/>
      <c r="J61" s="852"/>
      <c r="K61" s="836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835" t="s">
        <v>94</v>
      </c>
      <c r="I62" s="852"/>
      <c r="J62" s="852"/>
      <c r="K62" s="836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853" t="s">
        <v>103</v>
      </c>
      <c r="I68" s="850"/>
      <c r="J68" s="850"/>
      <c r="K68" s="851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835" t="s">
        <v>104</v>
      </c>
      <c r="I69" s="852"/>
      <c r="J69" s="852"/>
      <c r="K69" s="836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835" t="s">
        <v>105</v>
      </c>
      <c r="I70" s="852"/>
      <c r="J70" s="852"/>
      <c r="K70" s="836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53" t="s">
        <v>108</v>
      </c>
      <c r="I73" s="850"/>
      <c r="J73" s="850"/>
      <c r="K73" s="851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35" t="s">
        <v>109</v>
      </c>
      <c r="I74" s="852"/>
      <c r="J74" s="852"/>
      <c r="K74" s="836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835" t="s">
        <v>110</v>
      </c>
      <c r="I75" s="852"/>
      <c r="J75" s="852"/>
      <c r="K75" s="836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835" t="s">
        <v>111</v>
      </c>
      <c r="I76" s="852"/>
      <c r="J76" s="852"/>
      <c r="K76" s="836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853" t="s">
        <v>123</v>
      </c>
      <c r="I79" s="850"/>
      <c r="J79" s="850"/>
      <c r="K79" s="851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853" t="s">
        <v>117</v>
      </c>
      <c r="I86" s="850"/>
      <c r="J86" s="850"/>
      <c r="K86" s="851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835" t="s">
        <v>118</v>
      </c>
      <c r="I87" s="852"/>
      <c r="J87" s="852"/>
      <c r="K87" s="836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835" t="s">
        <v>119</v>
      </c>
      <c r="I88" s="852"/>
      <c r="J88" s="852"/>
      <c r="K88" s="836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865" t="s">
        <v>129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7"/>
      <c r="M93" s="267">
        <f>SUM(M86,M79,M73,M68,M60,M54,M49,M41,M35,M29,M24,M17,M9,M6)</f>
        <v>1.4939935828877009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868" t="s">
        <v>0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</row>
    <row r="2" spans="1:16" ht="27.75" x14ac:dyDescent="0.5">
      <c r="A2" s="868" t="s">
        <v>45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</row>
    <row r="3" spans="1:16" ht="26.25" customHeight="1" x14ac:dyDescent="0.5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870" t="s">
        <v>3</v>
      </c>
      <c r="D4" s="870"/>
      <c r="E4" s="870"/>
      <c r="F4" s="870"/>
      <c r="G4" s="870"/>
      <c r="H4" s="871" t="s">
        <v>4</v>
      </c>
      <c r="I4" s="872"/>
      <c r="J4" s="872"/>
      <c r="K4" s="873"/>
      <c r="L4" s="877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874"/>
      <c r="I5" s="875"/>
      <c r="J5" s="875"/>
      <c r="K5" s="876"/>
      <c r="L5" s="877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830" t="s">
        <v>14</v>
      </c>
      <c r="I9" s="831"/>
      <c r="J9" s="832" t="s">
        <v>15</v>
      </c>
      <c r="K9" s="832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830"/>
      <c r="I10" s="831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833" t="s">
        <v>19</v>
      </c>
      <c r="I11" s="834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835" t="s">
        <v>42</v>
      </c>
      <c r="I13" s="836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847" t="s">
        <v>43</v>
      </c>
      <c r="I14" s="848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849" t="s">
        <v>20</v>
      </c>
      <c r="I15" s="849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853" t="s">
        <v>46</v>
      </c>
      <c r="I17" s="850"/>
      <c r="J17" s="850"/>
      <c r="K17" s="851"/>
      <c r="L17" s="243">
        <f>'[1]6 เดือน'!$L$17</f>
        <v>1</v>
      </c>
      <c r="M17" s="61">
        <f>IF(L17=0,"-",L17*B17/B$94)</f>
        <v>0.05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835" t="s">
        <v>47</v>
      </c>
      <c r="I18" s="852"/>
      <c r="J18" s="852"/>
      <c r="K18" s="836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835" t="s">
        <v>48</v>
      </c>
      <c r="I19" s="852"/>
      <c r="J19" s="852"/>
      <c r="K19" s="836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835" t="s">
        <v>49</v>
      </c>
      <c r="I20" s="852"/>
      <c r="J20" s="852"/>
      <c r="K20" s="836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835" t="s">
        <v>50</v>
      </c>
      <c r="I21" s="852"/>
      <c r="J21" s="852"/>
      <c r="K21" s="836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854"/>
      <c r="I23" s="855"/>
      <c r="J23" s="855"/>
      <c r="K23" s="856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850" t="s">
        <v>82</v>
      </c>
      <c r="I24" s="850"/>
      <c r="J24" s="850"/>
      <c r="K24" s="851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835" t="s">
        <v>83</v>
      </c>
      <c r="I25" s="852"/>
      <c r="J25" s="852"/>
      <c r="K25" s="836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835" t="s">
        <v>55</v>
      </c>
      <c r="I26" s="852"/>
      <c r="J26" s="852"/>
      <c r="K26" s="836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853" t="s">
        <v>57</v>
      </c>
      <c r="I29" s="850"/>
      <c r="J29" s="850"/>
      <c r="K29" s="851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835" t="s">
        <v>58</v>
      </c>
      <c r="I30" s="852"/>
      <c r="J30" s="852"/>
      <c r="K30" s="836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835" t="s">
        <v>77</v>
      </c>
      <c r="I31" s="852"/>
      <c r="J31" s="852"/>
      <c r="K31" s="836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835" t="s">
        <v>59</v>
      </c>
      <c r="I32" s="852"/>
      <c r="J32" s="852"/>
      <c r="K32" s="836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853" t="s">
        <v>73</v>
      </c>
      <c r="I35" s="850"/>
      <c r="J35" s="850"/>
      <c r="K35" s="851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858" t="s">
        <v>74</v>
      </c>
      <c r="I36" s="859"/>
      <c r="J36" s="859"/>
      <c r="K36" s="860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858" t="s">
        <v>75</v>
      </c>
      <c r="I37" s="859"/>
      <c r="J37" s="859"/>
      <c r="K37" s="860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858" t="s">
        <v>76</v>
      </c>
      <c r="I38" s="861"/>
      <c r="J38" s="861"/>
      <c r="K38" s="862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853" t="s">
        <v>62</v>
      </c>
      <c r="I41" s="850"/>
      <c r="J41" s="850"/>
      <c r="K41" s="851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835" t="s">
        <v>63</v>
      </c>
      <c r="I42" s="852"/>
      <c r="J42" s="852"/>
      <c r="K42" s="836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835" t="s">
        <v>64</v>
      </c>
      <c r="I43" s="852"/>
      <c r="J43" s="852"/>
      <c r="K43" s="836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857"/>
      <c r="I48" s="855"/>
      <c r="J48" s="855"/>
      <c r="K48" s="856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853" t="s">
        <v>78</v>
      </c>
      <c r="I49" s="850"/>
      <c r="J49" s="850"/>
      <c r="K49" s="851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852" t="s">
        <v>79</v>
      </c>
      <c r="I50" s="852"/>
      <c r="J50" s="852"/>
      <c r="K50" s="836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852" t="s">
        <v>80</v>
      </c>
      <c r="I51" s="852"/>
      <c r="J51" s="852"/>
      <c r="K51" s="836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857"/>
      <c r="I53" s="863"/>
      <c r="J53" s="863"/>
      <c r="K53" s="864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853" t="s">
        <v>99</v>
      </c>
      <c r="I54" s="850"/>
      <c r="J54" s="850"/>
      <c r="K54" s="851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835" t="s">
        <v>100</v>
      </c>
      <c r="I55" s="852"/>
      <c r="J55" s="852"/>
      <c r="K55" s="836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853" t="s">
        <v>92</v>
      </c>
      <c r="I60" s="850"/>
      <c r="J60" s="850"/>
      <c r="K60" s="851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835" t="s">
        <v>93</v>
      </c>
      <c r="I61" s="852"/>
      <c r="J61" s="852"/>
      <c r="K61" s="836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835" t="s">
        <v>94</v>
      </c>
      <c r="I62" s="852"/>
      <c r="J62" s="852"/>
      <c r="K62" s="836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853" t="s">
        <v>103</v>
      </c>
      <c r="I68" s="850"/>
      <c r="J68" s="850"/>
      <c r="K68" s="851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835" t="s">
        <v>104</v>
      </c>
      <c r="I69" s="852"/>
      <c r="J69" s="852"/>
      <c r="K69" s="836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835" t="s">
        <v>105</v>
      </c>
      <c r="I70" s="852"/>
      <c r="J70" s="852"/>
      <c r="K70" s="836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53" t="s">
        <v>108</v>
      </c>
      <c r="I73" s="850"/>
      <c r="J73" s="850"/>
      <c r="K73" s="851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35" t="s">
        <v>109</v>
      </c>
      <c r="I74" s="852"/>
      <c r="J74" s="852"/>
      <c r="K74" s="836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835" t="s">
        <v>110</v>
      </c>
      <c r="I75" s="852"/>
      <c r="J75" s="852"/>
      <c r="K75" s="836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835" t="s">
        <v>111</v>
      </c>
      <c r="I76" s="852"/>
      <c r="J76" s="852"/>
      <c r="K76" s="836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853" t="s">
        <v>123</v>
      </c>
      <c r="I79" s="850"/>
      <c r="J79" s="850"/>
      <c r="K79" s="851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853" t="s">
        <v>117</v>
      </c>
      <c r="I86" s="850"/>
      <c r="J86" s="850"/>
      <c r="K86" s="851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835" t="s">
        <v>118</v>
      </c>
      <c r="I87" s="852"/>
      <c r="J87" s="852"/>
      <c r="K87" s="836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835" t="s">
        <v>119</v>
      </c>
      <c r="I88" s="852"/>
      <c r="J88" s="852"/>
      <c r="K88" s="836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865" t="s">
        <v>129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7"/>
      <c r="M93" s="267">
        <f>SUM(M86,M79,M73,M68,M60,M54,M49,M41,M35,M29,M24,M17,M9,M6)</f>
        <v>1.5787401059215067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 x14ac:dyDescent="0.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 x14ac:dyDescent="0.5">
      <c r="A1" s="868" t="s">
        <v>0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</row>
    <row r="2" spans="1:16" ht="27.75" x14ac:dyDescent="0.5">
      <c r="A2" s="868" t="s">
        <v>45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</row>
    <row r="3" spans="1:16" ht="26.25" customHeight="1" x14ac:dyDescent="0.5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 x14ac:dyDescent="0.5">
      <c r="A4" s="26" t="s">
        <v>1</v>
      </c>
      <c r="B4" s="26" t="s">
        <v>2</v>
      </c>
      <c r="C4" s="870" t="s">
        <v>3</v>
      </c>
      <c r="D4" s="870"/>
      <c r="E4" s="870"/>
      <c r="F4" s="870"/>
      <c r="G4" s="870"/>
      <c r="H4" s="871" t="s">
        <v>4</v>
      </c>
      <c r="I4" s="872"/>
      <c r="J4" s="872"/>
      <c r="K4" s="873"/>
      <c r="L4" s="877" t="s">
        <v>5</v>
      </c>
      <c r="M4" s="250" t="s">
        <v>6</v>
      </c>
    </row>
    <row r="5" spans="1:16" s="251" customFormat="1" ht="24.75" customHeight="1" x14ac:dyDescent="0.5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874"/>
      <c r="I5" s="875"/>
      <c r="J5" s="875"/>
      <c r="K5" s="876"/>
      <c r="L5" s="877"/>
      <c r="M5" s="253" t="s">
        <v>9</v>
      </c>
    </row>
    <row r="6" spans="1:16" ht="23.25" customHeight="1" x14ac:dyDescent="0.5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 x14ac:dyDescent="0.5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 x14ac:dyDescent="0.5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 x14ac:dyDescent="0.5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830" t="s">
        <v>14</v>
      </c>
      <c r="I9" s="831"/>
      <c r="J9" s="832" t="s">
        <v>15</v>
      </c>
      <c r="K9" s="832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 x14ac:dyDescent="0.5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830"/>
      <c r="I10" s="831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 x14ac:dyDescent="0.5">
      <c r="A11" s="40"/>
      <c r="B11" s="3"/>
      <c r="C11" s="258"/>
      <c r="D11" s="258"/>
      <c r="E11" s="258"/>
      <c r="F11" s="258"/>
      <c r="G11" s="258"/>
      <c r="H11" s="833" t="s">
        <v>19</v>
      </c>
      <c r="I11" s="834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 x14ac:dyDescent="0.5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 x14ac:dyDescent="0.5">
      <c r="A13" s="40"/>
      <c r="B13" s="5"/>
      <c r="C13" s="17"/>
      <c r="D13" s="17"/>
      <c r="E13" s="17"/>
      <c r="F13" s="17"/>
      <c r="G13" s="17"/>
      <c r="H13" s="835" t="s">
        <v>42</v>
      </c>
      <c r="I13" s="836"/>
      <c r="J13" s="86"/>
      <c r="K13" s="87"/>
      <c r="L13" s="115"/>
      <c r="M13" s="62"/>
    </row>
    <row r="14" spans="1:16" ht="23.25" customHeight="1" x14ac:dyDescent="0.5">
      <c r="A14" s="40"/>
      <c r="B14" s="5"/>
      <c r="C14" s="17"/>
      <c r="D14" s="17"/>
      <c r="E14" s="17"/>
      <c r="F14" s="17"/>
      <c r="G14" s="17"/>
      <c r="H14" s="847" t="s">
        <v>43</v>
      </c>
      <c r="I14" s="848"/>
      <c r="J14" s="88"/>
      <c r="K14" s="89"/>
      <c r="L14" s="115"/>
      <c r="M14" s="62"/>
    </row>
    <row r="15" spans="1:16" ht="23.25" customHeight="1" thickBot="1" x14ac:dyDescent="0.55000000000000004">
      <c r="A15" s="40"/>
      <c r="B15" s="5"/>
      <c r="C15" s="17"/>
      <c r="D15" s="17"/>
      <c r="E15" s="17"/>
      <c r="F15" s="17"/>
      <c r="G15" s="17"/>
      <c r="H15" s="849" t="s">
        <v>20</v>
      </c>
      <c r="I15" s="849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 x14ac:dyDescent="0.5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 x14ac:dyDescent="0.5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853" t="s">
        <v>46</v>
      </c>
      <c r="I17" s="850"/>
      <c r="J17" s="850"/>
      <c r="K17" s="851"/>
      <c r="L17" s="114">
        <v>4.1900000000000004</v>
      </c>
      <c r="M17" s="61">
        <f>IF(L17=0,"-",L17*B17/B$94)</f>
        <v>0.20950000000000002</v>
      </c>
    </row>
    <row r="18" spans="1:13" ht="23.25" customHeight="1" x14ac:dyDescent="0.5">
      <c r="A18" s="40" t="s">
        <v>44</v>
      </c>
      <c r="B18" s="5"/>
      <c r="C18" s="17"/>
      <c r="D18" s="17"/>
      <c r="E18" s="17"/>
      <c r="F18" s="17"/>
      <c r="G18" s="17"/>
      <c r="H18" s="835" t="s">
        <v>47</v>
      </c>
      <c r="I18" s="852"/>
      <c r="J18" s="852"/>
      <c r="K18" s="836"/>
      <c r="L18" s="115"/>
      <c r="M18" s="62"/>
    </row>
    <row r="19" spans="1:13" ht="23.25" customHeight="1" x14ac:dyDescent="0.5">
      <c r="A19" s="40"/>
      <c r="B19" s="5"/>
      <c r="C19" s="17"/>
      <c r="D19" s="17"/>
      <c r="E19" s="17"/>
      <c r="F19" s="17"/>
      <c r="G19" s="17"/>
      <c r="H19" s="835" t="s">
        <v>48</v>
      </c>
      <c r="I19" s="852"/>
      <c r="J19" s="852"/>
      <c r="K19" s="836"/>
      <c r="L19" s="115"/>
      <c r="M19" s="62"/>
    </row>
    <row r="20" spans="1:13" ht="23.25" customHeight="1" x14ac:dyDescent="0.5">
      <c r="A20" s="40"/>
      <c r="B20" s="5"/>
      <c r="C20" s="17"/>
      <c r="D20" s="17"/>
      <c r="E20" s="17"/>
      <c r="F20" s="17"/>
      <c r="G20" s="17"/>
      <c r="H20" s="835" t="s">
        <v>49</v>
      </c>
      <c r="I20" s="852"/>
      <c r="J20" s="852"/>
      <c r="K20" s="836"/>
      <c r="L20" s="115"/>
      <c r="M20" s="62"/>
    </row>
    <row r="21" spans="1:13" ht="23.25" customHeight="1" x14ac:dyDescent="0.5">
      <c r="A21" s="40"/>
      <c r="B21" s="5"/>
      <c r="C21" s="17"/>
      <c r="D21" s="17"/>
      <c r="E21" s="17"/>
      <c r="F21" s="17"/>
      <c r="G21" s="17"/>
      <c r="H21" s="835" t="s">
        <v>50</v>
      </c>
      <c r="I21" s="852"/>
      <c r="J21" s="852"/>
      <c r="K21" s="836"/>
      <c r="L21" s="115"/>
      <c r="M21" s="62"/>
    </row>
    <row r="22" spans="1:13" ht="23.25" customHeight="1" x14ac:dyDescent="0.5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 x14ac:dyDescent="0.5">
      <c r="A23" s="50"/>
      <c r="B23" s="14"/>
      <c r="C23" s="20"/>
      <c r="D23" s="20"/>
      <c r="E23" s="20"/>
      <c r="F23" s="20"/>
      <c r="G23" s="20"/>
      <c r="H23" s="854"/>
      <c r="I23" s="855"/>
      <c r="J23" s="855"/>
      <c r="K23" s="856"/>
      <c r="L23" s="116"/>
      <c r="M23" s="63"/>
    </row>
    <row r="24" spans="1:13" ht="23.25" customHeight="1" x14ac:dyDescent="0.5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850" t="s">
        <v>82</v>
      </c>
      <c r="I24" s="850"/>
      <c r="J24" s="850"/>
      <c r="K24" s="851"/>
      <c r="L24" s="243">
        <f>'[1]6 เดือน'!$L$24</f>
        <v>1</v>
      </c>
      <c r="M24" s="61">
        <f>IF(L24=0,"-",L24*B24/B$94)</f>
        <v>0.1</v>
      </c>
    </row>
    <row r="25" spans="1:13" ht="23.25" customHeight="1" x14ac:dyDescent="0.5">
      <c r="A25" s="40" t="s">
        <v>21</v>
      </c>
      <c r="B25" s="5"/>
      <c r="C25" s="17"/>
      <c r="D25" s="17"/>
      <c r="E25" s="17"/>
      <c r="F25" s="17"/>
      <c r="G25" s="17"/>
      <c r="H25" s="835" t="s">
        <v>83</v>
      </c>
      <c r="I25" s="852"/>
      <c r="J25" s="852"/>
      <c r="K25" s="836"/>
      <c r="L25" s="115"/>
      <c r="M25" s="62"/>
    </row>
    <row r="26" spans="1:13" ht="23.25" customHeight="1" x14ac:dyDescent="0.5">
      <c r="A26" s="40"/>
      <c r="B26" s="5"/>
      <c r="C26" s="17"/>
      <c r="D26" s="17"/>
      <c r="E26" s="17"/>
      <c r="F26" s="17"/>
      <c r="G26" s="17"/>
      <c r="H26" s="835" t="s">
        <v>55</v>
      </c>
      <c r="I26" s="852"/>
      <c r="J26" s="852"/>
      <c r="K26" s="836"/>
      <c r="L26" s="115"/>
      <c r="M26" s="62"/>
    </row>
    <row r="27" spans="1:13" ht="23.25" customHeight="1" x14ac:dyDescent="0.5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 x14ac:dyDescent="0.5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 x14ac:dyDescent="0.5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853" t="s">
        <v>57</v>
      </c>
      <c r="I29" s="850"/>
      <c r="J29" s="850"/>
      <c r="K29" s="851"/>
      <c r="L29" s="243">
        <f>'[1]6 เดือน'!$L$29</f>
        <v>1</v>
      </c>
      <c r="M29" s="61">
        <f>IF(L29=0,"-",L29*B29/B$94)</f>
        <v>0.05</v>
      </c>
    </row>
    <row r="30" spans="1:13" ht="24.75" customHeight="1" x14ac:dyDescent="0.5">
      <c r="A30" s="40" t="s">
        <v>23</v>
      </c>
      <c r="B30" s="5"/>
      <c r="C30" s="17"/>
      <c r="D30" s="17"/>
      <c r="E30" s="17"/>
      <c r="F30" s="17"/>
      <c r="G30" s="17"/>
      <c r="H30" s="835" t="s">
        <v>58</v>
      </c>
      <c r="I30" s="852"/>
      <c r="J30" s="852"/>
      <c r="K30" s="836"/>
      <c r="L30" s="115"/>
      <c r="M30" s="62"/>
    </row>
    <row r="31" spans="1:13" ht="24.75" customHeight="1" x14ac:dyDescent="0.5">
      <c r="A31" s="40" t="s">
        <v>24</v>
      </c>
      <c r="B31" s="5"/>
      <c r="C31" s="17"/>
      <c r="D31" s="17"/>
      <c r="E31" s="17"/>
      <c r="F31" s="17"/>
      <c r="G31" s="17"/>
      <c r="H31" s="835" t="s">
        <v>77</v>
      </c>
      <c r="I31" s="852"/>
      <c r="J31" s="852"/>
      <c r="K31" s="836"/>
      <c r="L31" s="115"/>
      <c r="M31" s="62"/>
    </row>
    <row r="32" spans="1:13" ht="24.75" customHeight="1" x14ac:dyDescent="0.5">
      <c r="A32" s="40"/>
      <c r="B32" s="5"/>
      <c r="C32" s="17"/>
      <c r="D32" s="17"/>
      <c r="E32" s="17"/>
      <c r="F32" s="17"/>
      <c r="G32" s="17"/>
      <c r="H32" s="835" t="s">
        <v>59</v>
      </c>
      <c r="I32" s="852"/>
      <c r="J32" s="852"/>
      <c r="K32" s="836"/>
      <c r="L32" s="115"/>
      <c r="M32" s="62"/>
    </row>
    <row r="33" spans="1:13" ht="24.75" customHeight="1" x14ac:dyDescent="0.5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 x14ac:dyDescent="0.5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 x14ac:dyDescent="0.5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853" t="s">
        <v>73</v>
      </c>
      <c r="I35" s="850"/>
      <c r="J35" s="850"/>
      <c r="K35" s="851"/>
      <c r="L35" s="243">
        <v>1</v>
      </c>
      <c r="M35" s="61">
        <f>IF(L35=0,"-",L35*B35/B$94)</f>
        <v>0.1</v>
      </c>
    </row>
    <row r="36" spans="1:13" ht="24.75" customHeight="1" x14ac:dyDescent="0.5">
      <c r="A36" s="40" t="s">
        <v>26</v>
      </c>
      <c r="B36" s="5"/>
      <c r="C36" s="17"/>
      <c r="D36" s="17"/>
      <c r="E36" s="17"/>
      <c r="F36" s="17"/>
      <c r="G36" s="17"/>
      <c r="H36" s="858" t="s">
        <v>74</v>
      </c>
      <c r="I36" s="859"/>
      <c r="J36" s="859"/>
      <c r="K36" s="860"/>
      <c r="L36" s="115"/>
      <c r="M36" s="62"/>
    </row>
    <row r="37" spans="1:13" ht="24.75" customHeight="1" x14ac:dyDescent="0.5">
      <c r="A37" s="40"/>
      <c r="B37" s="5"/>
      <c r="C37" s="17"/>
      <c r="D37" s="17"/>
      <c r="E37" s="17"/>
      <c r="F37" s="17"/>
      <c r="G37" s="17"/>
      <c r="H37" s="858" t="s">
        <v>75</v>
      </c>
      <c r="I37" s="859"/>
      <c r="J37" s="859"/>
      <c r="K37" s="860"/>
      <c r="L37" s="115"/>
      <c r="M37" s="62"/>
    </row>
    <row r="38" spans="1:13" ht="24.75" customHeight="1" x14ac:dyDescent="0.5">
      <c r="A38" s="40"/>
      <c r="B38" s="5"/>
      <c r="C38" s="17"/>
      <c r="D38" s="17"/>
      <c r="E38" s="17"/>
      <c r="F38" s="17"/>
      <c r="G38" s="17"/>
      <c r="H38" s="858" t="s">
        <v>76</v>
      </c>
      <c r="I38" s="861"/>
      <c r="J38" s="861"/>
      <c r="K38" s="862"/>
      <c r="L38" s="115"/>
      <c r="M38" s="62"/>
    </row>
    <row r="39" spans="1:13" ht="24.75" customHeight="1" x14ac:dyDescent="0.5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 x14ac:dyDescent="0.5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 x14ac:dyDescent="0.5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853" t="s">
        <v>62</v>
      </c>
      <c r="I41" s="850"/>
      <c r="J41" s="850"/>
      <c r="K41" s="851"/>
      <c r="L41" s="243">
        <f>'[1]6 เดือน'!$L$41</f>
        <v>1</v>
      </c>
      <c r="M41" s="61">
        <f>IF(L41=0,"-",L41*B41/B$94)</f>
        <v>0.1</v>
      </c>
    </row>
    <row r="42" spans="1:13" ht="24.75" customHeight="1" x14ac:dyDescent="0.5">
      <c r="A42" s="40" t="s">
        <v>28</v>
      </c>
      <c r="B42" s="5"/>
      <c r="C42" s="17"/>
      <c r="D42" s="17"/>
      <c r="E42" s="17"/>
      <c r="F42" s="17"/>
      <c r="G42" s="17"/>
      <c r="H42" s="835" t="s">
        <v>63</v>
      </c>
      <c r="I42" s="852"/>
      <c r="J42" s="852"/>
      <c r="K42" s="836"/>
      <c r="L42" s="115"/>
      <c r="M42" s="62"/>
    </row>
    <row r="43" spans="1:13" ht="24.75" customHeight="1" x14ac:dyDescent="0.5">
      <c r="A43" s="40" t="s">
        <v>60</v>
      </c>
      <c r="B43" s="5"/>
      <c r="C43" s="17"/>
      <c r="D43" s="17"/>
      <c r="E43" s="17"/>
      <c r="F43" s="17"/>
      <c r="G43" s="17"/>
      <c r="H43" s="835" t="s">
        <v>64</v>
      </c>
      <c r="I43" s="852"/>
      <c r="J43" s="852"/>
      <c r="K43" s="836"/>
      <c r="L43" s="115"/>
      <c r="M43" s="62"/>
    </row>
    <row r="44" spans="1:13" ht="24.75" customHeight="1" x14ac:dyDescent="0.5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 x14ac:dyDescent="0.5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 x14ac:dyDescent="0.5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 x14ac:dyDescent="0.5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 x14ac:dyDescent="0.5">
      <c r="A48" s="40"/>
      <c r="B48" s="5"/>
      <c r="C48" s="17"/>
      <c r="D48" s="17"/>
      <c r="E48" s="17"/>
      <c r="F48" s="17"/>
      <c r="G48" s="17"/>
      <c r="H48" s="857"/>
      <c r="I48" s="855"/>
      <c r="J48" s="855"/>
      <c r="K48" s="856"/>
      <c r="L48" s="115"/>
      <c r="M48" s="62"/>
    </row>
    <row r="49" spans="1:13" ht="24.75" customHeight="1" x14ac:dyDescent="0.5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853" t="s">
        <v>78</v>
      </c>
      <c r="I49" s="850"/>
      <c r="J49" s="850"/>
      <c r="K49" s="851"/>
      <c r="L49" s="243">
        <f>'[1]6 เดือน'!$L$49</f>
        <v>1</v>
      </c>
      <c r="M49" s="61">
        <f>IF(L49=0,"-",L49*B49/B$94)</f>
        <v>0.05</v>
      </c>
    </row>
    <row r="50" spans="1:13" ht="24.75" customHeight="1" x14ac:dyDescent="0.5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852" t="s">
        <v>79</v>
      </c>
      <c r="I50" s="852"/>
      <c r="J50" s="852"/>
      <c r="K50" s="836"/>
      <c r="L50" s="115"/>
      <c r="M50" s="62"/>
    </row>
    <row r="51" spans="1:13" ht="24.75" customHeight="1" x14ac:dyDescent="0.5">
      <c r="A51" s="40"/>
      <c r="B51" s="3"/>
      <c r="C51" s="260"/>
      <c r="D51" s="260"/>
      <c r="E51" s="260"/>
      <c r="F51" s="260" t="s">
        <v>71</v>
      </c>
      <c r="G51" s="260" t="s">
        <v>72</v>
      </c>
      <c r="H51" s="852" t="s">
        <v>80</v>
      </c>
      <c r="I51" s="852"/>
      <c r="J51" s="852"/>
      <c r="K51" s="836"/>
      <c r="L51" s="115"/>
      <c r="M51" s="62"/>
    </row>
    <row r="52" spans="1:13" ht="24.75" customHeight="1" x14ac:dyDescent="0.5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 x14ac:dyDescent="0.5">
      <c r="A53" s="50"/>
      <c r="B53" s="14"/>
      <c r="C53" s="20"/>
      <c r="D53" s="20"/>
      <c r="E53" s="20"/>
      <c r="F53" s="20"/>
      <c r="G53" s="20"/>
      <c r="H53" s="857"/>
      <c r="I53" s="863"/>
      <c r="J53" s="863"/>
      <c r="K53" s="864"/>
      <c r="L53" s="116"/>
      <c r="M53" s="63"/>
    </row>
    <row r="54" spans="1:13" ht="24.75" customHeight="1" x14ac:dyDescent="0.5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853" t="s">
        <v>99</v>
      </c>
      <c r="I54" s="850"/>
      <c r="J54" s="850"/>
      <c r="K54" s="851"/>
      <c r="L54" s="243">
        <v>1</v>
      </c>
      <c r="M54" s="61">
        <f>IF(L54=0,"-",L54*B54/B$94)</f>
        <v>0.1</v>
      </c>
    </row>
    <row r="55" spans="1:13" ht="24.75" customHeight="1" x14ac:dyDescent="0.5">
      <c r="A55" s="40" t="s">
        <v>85</v>
      </c>
      <c r="B55" s="5"/>
      <c r="C55" s="17"/>
      <c r="D55" s="17"/>
      <c r="E55" s="17"/>
      <c r="F55" s="17"/>
      <c r="G55" s="17"/>
      <c r="H55" s="835" t="s">
        <v>100</v>
      </c>
      <c r="I55" s="852"/>
      <c r="J55" s="852"/>
      <c r="K55" s="836"/>
      <c r="L55" s="115"/>
      <c r="M55" s="62"/>
    </row>
    <row r="56" spans="1:13" ht="24.75" customHeight="1" x14ac:dyDescent="0.5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 x14ac:dyDescent="0.5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 x14ac:dyDescent="0.5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 x14ac:dyDescent="0.5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 x14ac:dyDescent="0.5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853" t="s">
        <v>92</v>
      </c>
      <c r="I60" s="850"/>
      <c r="J60" s="850"/>
      <c r="K60" s="851"/>
      <c r="L60" s="243">
        <f>'[1]6 เดือน'!$L$60</f>
        <v>1</v>
      </c>
      <c r="M60" s="61">
        <f>IF(L60=0,"-",L60*B60/B$94)</f>
        <v>0.05</v>
      </c>
    </row>
    <row r="61" spans="1:13" ht="24.75" customHeight="1" x14ac:dyDescent="0.5">
      <c r="A61" s="40" t="s">
        <v>90</v>
      </c>
      <c r="B61" s="3"/>
      <c r="C61" s="262"/>
      <c r="D61" s="262"/>
      <c r="E61" s="262"/>
      <c r="F61" s="262"/>
      <c r="G61" s="262"/>
      <c r="H61" s="835" t="s">
        <v>93</v>
      </c>
      <c r="I61" s="852"/>
      <c r="J61" s="852"/>
      <c r="K61" s="836"/>
      <c r="L61" s="115"/>
      <c r="M61" s="62"/>
    </row>
    <row r="62" spans="1:13" ht="24.75" customHeight="1" x14ac:dyDescent="0.5">
      <c r="A62" s="40" t="s">
        <v>91</v>
      </c>
      <c r="B62" s="5"/>
      <c r="C62" s="17"/>
      <c r="D62" s="17"/>
      <c r="E62" s="17"/>
      <c r="F62" s="17"/>
      <c r="G62" s="17"/>
      <c r="H62" s="835" t="s">
        <v>94</v>
      </c>
      <c r="I62" s="852"/>
      <c r="J62" s="852"/>
      <c r="K62" s="836"/>
      <c r="L62" s="115"/>
      <c r="M62" s="62"/>
    </row>
    <row r="63" spans="1:13" ht="24.75" customHeight="1" x14ac:dyDescent="0.5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 x14ac:dyDescent="0.5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 x14ac:dyDescent="0.5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 x14ac:dyDescent="0.5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 x14ac:dyDescent="0.5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 x14ac:dyDescent="0.5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853" t="s">
        <v>103</v>
      </c>
      <c r="I68" s="850"/>
      <c r="J68" s="850"/>
      <c r="K68" s="851"/>
      <c r="L68" s="243">
        <f>'[1]6 เดือน'!$L$68</f>
        <v>1</v>
      </c>
      <c r="M68" s="61">
        <f>IF(L68=0,"-",L68*B68/B$94)</f>
        <v>0.05</v>
      </c>
    </row>
    <row r="69" spans="1:32" ht="24.75" customHeight="1" x14ac:dyDescent="0.5">
      <c r="A69" s="40" t="s">
        <v>102</v>
      </c>
      <c r="B69" s="5"/>
      <c r="C69" s="17"/>
      <c r="D69" s="17"/>
      <c r="E69" s="17"/>
      <c r="F69" s="17"/>
      <c r="G69" s="17"/>
      <c r="H69" s="835" t="s">
        <v>104</v>
      </c>
      <c r="I69" s="852"/>
      <c r="J69" s="852"/>
      <c r="K69" s="836"/>
      <c r="L69" s="115"/>
      <c r="M69" s="62"/>
    </row>
    <row r="70" spans="1:32" ht="24.75" customHeight="1" x14ac:dyDescent="0.5">
      <c r="A70" s="40"/>
      <c r="B70" s="5"/>
      <c r="C70" s="17"/>
      <c r="D70" s="17"/>
      <c r="E70" s="17"/>
      <c r="F70" s="17"/>
      <c r="G70" s="17"/>
      <c r="H70" s="835" t="s">
        <v>105</v>
      </c>
      <c r="I70" s="852"/>
      <c r="J70" s="852"/>
      <c r="K70" s="836"/>
      <c r="L70" s="115"/>
      <c r="M70" s="62"/>
    </row>
    <row r="71" spans="1:32" ht="24.75" customHeight="1" x14ac:dyDescent="0.5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 x14ac:dyDescent="0.5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 x14ac:dyDescent="0.5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853" t="s">
        <v>108</v>
      </c>
      <c r="I73" s="850"/>
      <c r="J73" s="850"/>
      <c r="K73" s="851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 x14ac:dyDescent="0.5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835" t="s">
        <v>109</v>
      </c>
      <c r="I74" s="852"/>
      <c r="J74" s="852"/>
      <c r="K74" s="836"/>
      <c r="L74" s="115"/>
      <c r="M74" s="62"/>
    </row>
    <row r="75" spans="1:32" ht="24.75" customHeight="1" x14ac:dyDescent="0.5">
      <c r="A75" s="40"/>
      <c r="B75" s="5"/>
      <c r="C75" s="23"/>
      <c r="D75" s="23"/>
      <c r="E75" s="23"/>
      <c r="F75" s="23"/>
      <c r="G75" s="23"/>
      <c r="H75" s="835" t="s">
        <v>110</v>
      </c>
      <c r="I75" s="852"/>
      <c r="J75" s="852"/>
      <c r="K75" s="836"/>
      <c r="L75" s="115"/>
      <c r="M75" s="62"/>
    </row>
    <row r="76" spans="1:32" ht="24.75" customHeight="1" x14ac:dyDescent="0.5">
      <c r="A76" s="40"/>
      <c r="B76" s="5"/>
      <c r="C76" s="23"/>
      <c r="D76" s="23"/>
      <c r="E76" s="23"/>
      <c r="F76" s="23"/>
      <c r="G76" s="23"/>
      <c r="H76" s="835" t="s">
        <v>111</v>
      </c>
      <c r="I76" s="852"/>
      <c r="J76" s="852"/>
      <c r="K76" s="836"/>
      <c r="L76" s="115"/>
      <c r="M76" s="62"/>
    </row>
    <row r="77" spans="1:32" ht="24.75" customHeight="1" x14ac:dyDescent="0.5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 x14ac:dyDescent="0.5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 x14ac:dyDescent="0.5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853" t="s">
        <v>123</v>
      </c>
      <c r="I79" s="850"/>
      <c r="J79" s="850"/>
      <c r="K79" s="851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 x14ac:dyDescent="0.5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 x14ac:dyDescent="0.5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 x14ac:dyDescent="0.5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 x14ac:dyDescent="0.5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 x14ac:dyDescent="0.5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 x14ac:dyDescent="0.5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 x14ac:dyDescent="0.5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853" t="s">
        <v>117</v>
      </c>
      <c r="I86" s="850"/>
      <c r="J86" s="850"/>
      <c r="K86" s="851"/>
      <c r="L86" s="114">
        <f>'[1]11 เดือน'!$L$86</f>
        <v>4.3</v>
      </c>
      <c r="M86" s="61">
        <f>IF(L86=0,"-",L86*B86/B$94)</f>
        <v>0.215</v>
      </c>
    </row>
    <row r="87" spans="1:32" ht="24.75" customHeight="1" x14ac:dyDescent="0.5">
      <c r="A87" s="40" t="s">
        <v>116</v>
      </c>
      <c r="B87" s="5"/>
      <c r="C87" s="17"/>
      <c r="D87" s="17"/>
      <c r="E87" s="17"/>
      <c r="F87" s="17"/>
      <c r="G87" s="17"/>
      <c r="H87" s="835" t="s">
        <v>118</v>
      </c>
      <c r="I87" s="852"/>
      <c r="J87" s="852"/>
      <c r="K87" s="836"/>
      <c r="L87" s="115"/>
      <c r="M87" s="62"/>
    </row>
    <row r="88" spans="1:32" ht="24.75" customHeight="1" x14ac:dyDescent="0.5">
      <c r="A88" s="40"/>
      <c r="B88" s="5"/>
      <c r="C88" s="17"/>
      <c r="D88" s="17"/>
      <c r="E88" s="17"/>
      <c r="F88" s="17"/>
      <c r="G88" s="17"/>
      <c r="H88" s="835" t="s">
        <v>119</v>
      </c>
      <c r="I88" s="852"/>
      <c r="J88" s="852"/>
      <c r="K88" s="836"/>
      <c r="L88" s="115"/>
      <c r="M88" s="62"/>
    </row>
    <row r="89" spans="1:32" ht="24.75" customHeight="1" x14ac:dyDescent="0.5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 x14ac:dyDescent="0.5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 x14ac:dyDescent="0.5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 x14ac:dyDescent="0.5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 x14ac:dyDescent="0.5">
      <c r="A93" s="865" t="s">
        <v>129</v>
      </c>
      <c r="B93" s="866"/>
      <c r="C93" s="866"/>
      <c r="D93" s="866"/>
      <c r="E93" s="866"/>
      <c r="F93" s="866"/>
      <c r="G93" s="866"/>
      <c r="H93" s="866"/>
      <c r="I93" s="866"/>
      <c r="J93" s="866"/>
      <c r="K93" s="866"/>
      <c r="L93" s="867"/>
      <c r="M93" s="267">
        <f>SUM(M86,M79,M73,M68,M60,M54,M49,M41,M35,M29,M24,M17,M9,M6)</f>
        <v>2.0072889596406092</v>
      </c>
    </row>
    <row r="94" spans="1:32" x14ac:dyDescent="0.5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04"/>
  <sheetViews>
    <sheetView tabSelected="1"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10" style="292" bestFit="1" customWidth="1"/>
    <col min="15" max="17" width="9.140625" style="292"/>
    <col min="18" max="18" width="21.85546875" style="292" bestFit="1" customWidth="1"/>
    <col min="19" max="19" width="8.140625" style="292" customWidth="1"/>
    <col min="20" max="20" width="8" style="292" customWidth="1"/>
    <col min="21" max="21" width="15" style="292" bestFit="1" customWidth="1"/>
    <col min="22" max="22" width="16.140625" style="292" bestFit="1" customWidth="1"/>
    <col min="23" max="23" width="15" style="292" bestFit="1" customWidth="1"/>
    <col min="24" max="24" width="9.140625" style="292"/>
    <col min="25" max="25" width="10.7109375" style="292" customWidth="1"/>
    <col min="26" max="26" width="113.42578125" style="292" bestFit="1" customWidth="1"/>
    <col min="27" max="27" width="19.85546875" style="292" customWidth="1"/>
    <col min="28" max="28" width="19.7109375" style="292" bestFit="1" customWidth="1"/>
    <col min="29" max="29" width="9.42578125" style="292" bestFit="1" customWidth="1"/>
    <col min="30" max="30" width="14.140625" style="292" bestFit="1" customWidth="1"/>
    <col min="31" max="31" width="12.5703125" style="292" bestFit="1" customWidth="1"/>
    <col min="32" max="32" width="11" style="292" bestFit="1" customWidth="1"/>
    <col min="33" max="35" width="9.140625" style="292"/>
    <col min="36" max="36" width="9.85546875" style="292" bestFit="1" customWidth="1"/>
    <col min="37" max="37" width="9.140625" style="292"/>
    <col min="38" max="39" width="9.85546875" style="292" bestFit="1" customWidth="1"/>
    <col min="40" max="16384" width="9.140625" style="292"/>
  </cols>
  <sheetData>
    <row r="1" spans="1:40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40" ht="24" customHeight="1" x14ac:dyDescent="0.4">
      <c r="A2" s="897" t="s">
        <v>407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X2" s="441"/>
      <c r="Y2" s="441"/>
      <c r="Z2" s="441"/>
      <c r="AA2" s="561" t="s">
        <v>301</v>
      </c>
      <c r="AB2" s="553"/>
      <c r="AC2" s="553"/>
      <c r="AD2" s="553"/>
      <c r="AE2" s="553"/>
      <c r="AF2" s="553"/>
      <c r="AG2" s="519"/>
      <c r="AH2" s="519"/>
      <c r="AI2" s="519"/>
      <c r="AJ2" s="519"/>
      <c r="AK2" s="519"/>
      <c r="AL2" s="519"/>
      <c r="AM2" s="298"/>
      <c r="AN2" s="298"/>
    </row>
    <row r="3" spans="1:40" ht="24" customHeight="1" x14ac:dyDescent="0.5">
      <c r="A3" s="293" t="s">
        <v>408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  <c r="R3" s="298" t="s">
        <v>491</v>
      </c>
      <c r="S3" s="493" t="s">
        <v>318</v>
      </c>
      <c r="X3" s="441"/>
      <c r="Y3" s="495"/>
      <c r="Z3" s="463"/>
      <c r="AA3" s="562" t="s">
        <v>302</v>
      </c>
      <c r="AB3" s="556"/>
      <c r="AC3" s="556"/>
      <c r="AD3" s="556"/>
      <c r="AE3" s="556"/>
      <c r="AF3" s="556"/>
      <c r="AG3" s="519"/>
      <c r="AH3" s="519" t="s">
        <v>303</v>
      </c>
      <c r="AI3" s="519"/>
      <c r="AJ3" s="519"/>
      <c r="AK3" s="553">
        <v>375</v>
      </c>
      <c r="AL3" s="519" t="s">
        <v>96</v>
      </c>
    </row>
    <row r="4" spans="1:40" s="298" customFormat="1" ht="24" customHeight="1" x14ac:dyDescent="0.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  <c r="Q4" s="504" t="s">
        <v>237</v>
      </c>
      <c r="R4" s="504" t="s">
        <v>214</v>
      </c>
      <c r="S4" s="504" t="s">
        <v>238</v>
      </c>
      <c r="X4" s="306"/>
      <c r="Y4" s="495"/>
      <c r="Z4" s="463"/>
      <c r="AA4" s="557" t="s">
        <v>304</v>
      </c>
      <c r="AB4" s="558" t="s">
        <v>305</v>
      </c>
      <c r="AC4" s="559"/>
      <c r="AD4" s="554" t="s">
        <v>306</v>
      </c>
      <c r="AE4" s="558" t="s">
        <v>307</v>
      </c>
      <c r="AF4" s="559"/>
      <c r="AG4" s="519"/>
      <c r="AH4" s="520"/>
      <c r="AI4" s="521">
        <v>5</v>
      </c>
      <c r="AJ4" s="520">
        <v>4</v>
      </c>
      <c r="AK4" s="520">
        <v>3</v>
      </c>
      <c r="AL4" s="519"/>
      <c r="AM4" s="292"/>
      <c r="AN4" s="292"/>
    </row>
    <row r="5" spans="1:40" s="298" customFormat="1" ht="24" customHeight="1" x14ac:dyDescent="0.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  <c r="Q5" s="746">
        <v>1</v>
      </c>
      <c r="R5" s="473">
        <v>952733177</v>
      </c>
      <c r="S5" s="518">
        <v>94.19</v>
      </c>
      <c r="T5" s="502" t="s">
        <v>239</v>
      </c>
      <c r="U5" s="503"/>
      <c r="W5" s="772" t="s">
        <v>213</v>
      </c>
      <c r="X5" s="306"/>
      <c r="Y5" s="495"/>
      <c r="Z5" s="539"/>
      <c r="AA5" s="560"/>
      <c r="AB5" s="554" t="s">
        <v>308</v>
      </c>
      <c r="AC5" s="554" t="s">
        <v>309</v>
      </c>
      <c r="AD5" s="554" t="s">
        <v>310</v>
      </c>
      <c r="AE5" s="522" t="s">
        <v>308</v>
      </c>
      <c r="AF5" s="554" t="s">
        <v>309</v>
      </c>
      <c r="AG5" s="519"/>
      <c r="AH5" s="523">
        <v>1</v>
      </c>
      <c r="AI5" s="524">
        <v>312</v>
      </c>
      <c r="AJ5" s="524">
        <f t="shared" ref="AJ5:AJ15" si="0">$AK$3-AI5</f>
        <v>63</v>
      </c>
      <c r="AK5" s="524"/>
      <c r="AL5" s="519">
        <v>63</v>
      </c>
      <c r="AM5" s="527">
        <v>5</v>
      </c>
      <c r="AN5" s="527">
        <v>1</v>
      </c>
    </row>
    <row r="6" spans="1:40" ht="24" customHeight="1" x14ac:dyDescent="0.5">
      <c r="A6" s="302" t="s">
        <v>159</v>
      </c>
      <c r="B6" s="391">
        <v>12.5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878" t="s">
        <v>14</v>
      </c>
      <c r="I6" s="878"/>
      <c r="J6" s="879" t="s">
        <v>160</v>
      </c>
      <c r="K6" s="879"/>
      <c r="L6" s="395">
        <v>5</v>
      </c>
      <c r="M6" s="305">
        <f>IF(L6=0,"-",ROUND(L6*B6/B$98,4))</f>
        <v>0.625</v>
      </c>
      <c r="N6" s="292">
        <v>10</v>
      </c>
      <c r="O6" s="292">
        <v>1</v>
      </c>
      <c r="Q6" s="746">
        <v>2</v>
      </c>
      <c r="R6" s="517">
        <v>823413039</v>
      </c>
      <c r="S6" s="518">
        <v>65.72</v>
      </c>
      <c r="T6" s="500" t="s">
        <v>240</v>
      </c>
      <c r="U6" s="501"/>
      <c r="W6" s="481" t="s">
        <v>213</v>
      </c>
      <c r="X6" s="441"/>
      <c r="Y6" s="495"/>
      <c r="Z6" s="539"/>
      <c r="AA6" s="525" t="s">
        <v>311</v>
      </c>
      <c r="AB6" s="525">
        <v>5</v>
      </c>
      <c r="AC6" s="525">
        <v>85</v>
      </c>
      <c r="AD6" s="526">
        <f>AI23</f>
        <v>5427</v>
      </c>
      <c r="AE6" s="547">
        <f>AB6-AN6</f>
        <v>4.8019259259259259</v>
      </c>
      <c r="AF6" s="550">
        <f>(AC6*AD6+AC7*AD7+AC8*AD8+AC9*AD9+AC10*AD10)/(AD6+AD7+AD8)</f>
        <v>84.009629629629629</v>
      </c>
      <c r="AG6" s="527"/>
      <c r="AH6" s="528">
        <v>2</v>
      </c>
      <c r="AI6" s="529">
        <v>302</v>
      </c>
      <c r="AJ6" s="524">
        <f t="shared" si="0"/>
        <v>73</v>
      </c>
      <c r="AK6" s="529"/>
      <c r="AL6" s="527">
        <v>73</v>
      </c>
      <c r="AM6" s="534">
        <f>AC6-AF6</f>
        <v>0.99037037037037123</v>
      </c>
      <c r="AN6" s="534">
        <f>AM6*AN5/AM5</f>
        <v>0.19807407407407424</v>
      </c>
    </row>
    <row r="7" spans="1:40" ht="24" customHeight="1" x14ac:dyDescent="0.5">
      <c r="A7" s="309" t="s">
        <v>161</v>
      </c>
      <c r="B7" s="327"/>
      <c r="C7" s="316"/>
      <c r="D7" s="316"/>
      <c r="E7" s="316"/>
      <c r="F7" s="316"/>
      <c r="G7" s="396"/>
      <c r="H7" s="878"/>
      <c r="I7" s="878"/>
      <c r="J7" s="385" t="s">
        <v>17</v>
      </c>
      <c r="K7" s="367" t="s">
        <v>18</v>
      </c>
      <c r="L7" s="355"/>
      <c r="M7" s="308"/>
      <c r="N7" s="545">
        <f>100-93.93</f>
        <v>6.0699999999999932</v>
      </c>
      <c r="O7" s="292">
        <f>O6*N7/N6</f>
        <v>0.60699999999999932</v>
      </c>
      <c r="Q7" s="746">
        <v>3</v>
      </c>
      <c r="R7" s="517">
        <v>10720300</v>
      </c>
      <c r="S7" s="518">
        <v>98.403999999999996</v>
      </c>
      <c r="T7" s="500" t="s">
        <v>241</v>
      </c>
      <c r="U7" s="501"/>
      <c r="X7" s="441"/>
      <c r="Y7" s="495"/>
      <c r="Z7" s="636" t="s">
        <v>213</v>
      </c>
      <c r="AA7" s="530" t="s">
        <v>312</v>
      </c>
      <c r="AB7" s="530">
        <v>4</v>
      </c>
      <c r="AC7" s="530">
        <v>80</v>
      </c>
      <c r="AD7" s="531">
        <f>AJ23</f>
        <v>1309</v>
      </c>
      <c r="AE7" s="548"/>
      <c r="AF7" s="551"/>
      <c r="AG7" s="527"/>
      <c r="AH7" s="528">
        <v>3</v>
      </c>
      <c r="AI7" s="529">
        <v>301</v>
      </c>
      <c r="AJ7" s="524">
        <f t="shared" si="0"/>
        <v>74</v>
      </c>
      <c r="AK7" s="529"/>
      <c r="AL7" s="527">
        <v>74</v>
      </c>
    </row>
    <row r="8" spans="1:40" ht="24" customHeight="1" x14ac:dyDescent="0.5">
      <c r="A8" s="309"/>
      <c r="B8" s="327"/>
      <c r="C8" s="318"/>
      <c r="D8" s="318"/>
      <c r="E8" s="318"/>
      <c r="F8" s="318"/>
      <c r="G8" s="397"/>
      <c r="H8" s="371" t="s">
        <v>162</v>
      </c>
      <c r="I8" s="373"/>
      <c r="J8" s="398">
        <v>61</v>
      </c>
      <c r="K8" s="480">
        <v>1</v>
      </c>
      <c r="L8" s="355"/>
      <c r="M8" s="308"/>
      <c r="N8" s="481" t="s">
        <v>236</v>
      </c>
      <c r="Q8" s="746"/>
      <c r="R8" s="517">
        <v>65182800</v>
      </c>
      <c r="S8" s="518">
        <v>91.62</v>
      </c>
      <c r="T8" s="500" t="s">
        <v>242</v>
      </c>
      <c r="U8" s="501"/>
      <c r="X8" s="441"/>
      <c r="Y8" s="718" t="s">
        <v>213</v>
      </c>
      <c r="Z8" s="719"/>
      <c r="AA8" s="530" t="s">
        <v>313</v>
      </c>
      <c r="AB8" s="530">
        <v>3</v>
      </c>
      <c r="AC8" s="530">
        <v>75</v>
      </c>
      <c r="AD8" s="531">
        <f>AK23</f>
        <v>14</v>
      </c>
      <c r="AE8" s="548"/>
      <c r="AF8" s="551"/>
      <c r="AG8" s="527"/>
      <c r="AH8" s="528">
        <v>4</v>
      </c>
      <c r="AI8" s="529">
        <v>302</v>
      </c>
      <c r="AJ8" s="524">
        <f t="shared" si="0"/>
        <v>73</v>
      </c>
      <c r="AK8" s="529"/>
      <c r="AL8" s="527">
        <v>73</v>
      </c>
    </row>
    <row r="9" spans="1:40" ht="24" customHeight="1" x14ac:dyDescent="0.35">
      <c r="A9" s="309"/>
      <c r="B9" s="399"/>
      <c r="C9" s="319"/>
      <c r="D9" s="320"/>
      <c r="E9" s="320"/>
      <c r="F9" s="320"/>
      <c r="G9" s="311"/>
      <c r="H9" s="880" t="s">
        <v>163</v>
      </c>
      <c r="I9" s="881"/>
      <c r="J9" s="400"/>
      <c r="K9" s="598" t="s">
        <v>328</v>
      </c>
      <c r="L9" s="355"/>
      <c r="M9" s="308"/>
      <c r="N9" s="314"/>
      <c r="O9" s="317"/>
      <c r="P9" s="315"/>
      <c r="Q9" s="746"/>
      <c r="R9" s="777">
        <v>12075000</v>
      </c>
      <c r="S9" s="778">
        <v>0</v>
      </c>
      <c r="T9" s="500" t="s">
        <v>243</v>
      </c>
      <c r="U9" s="501"/>
      <c r="X9" s="441"/>
      <c r="Y9" s="481"/>
      <c r="Z9" s="539"/>
      <c r="AA9" s="530" t="s">
        <v>314</v>
      </c>
      <c r="AB9" s="530">
        <v>2</v>
      </c>
      <c r="AC9" s="530">
        <v>70</v>
      </c>
      <c r="AD9" s="531">
        <v>0</v>
      </c>
      <c r="AE9" s="548"/>
      <c r="AF9" s="551"/>
      <c r="AG9" s="527"/>
      <c r="AH9" s="528">
        <v>5</v>
      </c>
      <c r="AI9" s="529">
        <v>309</v>
      </c>
      <c r="AJ9" s="524">
        <f t="shared" si="0"/>
        <v>66</v>
      </c>
      <c r="AK9" s="529"/>
      <c r="AL9" s="527">
        <v>66</v>
      </c>
    </row>
    <row r="10" spans="1:40" ht="24" customHeight="1" x14ac:dyDescent="0.5">
      <c r="A10" s="309"/>
      <c r="B10" s="399"/>
      <c r="C10" s="320"/>
      <c r="D10" s="320"/>
      <c r="E10" s="320"/>
      <c r="F10" s="320"/>
      <c r="G10" s="311"/>
      <c r="H10" s="880"/>
      <c r="I10" s="881"/>
      <c r="J10" s="400"/>
      <c r="K10" s="321"/>
      <c r="L10" s="355"/>
      <c r="M10" s="308"/>
      <c r="Q10" s="746">
        <v>4</v>
      </c>
      <c r="R10" s="517">
        <v>243287331</v>
      </c>
      <c r="S10" s="518">
        <v>50.68</v>
      </c>
      <c r="T10" s="292" t="s">
        <v>244</v>
      </c>
      <c r="U10" s="501"/>
      <c r="W10" s="481" t="s">
        <v>213</v>
      </c>
      <c r="X10" s="441"/>
      <c r="Y10" s="495"/>
      <c r="Z10" s="539"/>
      <c r="AA10" s="532" t="s">
        <v>315</v>
      </c>
      <c r="AB10" s="532">
        <v>1</v>
      </c>
      <c r="AC10" s="532">
        <v>65</v>
      </c>
      <c r="AD10" s="533">
        <v>0</v>
      </c>
      <c r="AE10" s="549"/>
      <c r="AF10" s="552"/>
      <c r="AG10" s="527"/>
      <c r="AH10" s="528">
        <v>6</v>
      </c>
      <c r="AI10" s="529">
        <v>302</v>
      </c>
      <c r="AJ10" s="524">
        <f t="shared" si="0"/>
        <v>73</v>
      </c>
      <c r="AK10" s="529"/>
      <c r="AL10" s="527">
        <v>73</v>
      </c>
    </row>
    <row r="11" spans="1:40" ht="24" customHeight="1" thickBot="1" x14ac:dyDescent="0.55000000000000004">
      <c r="A11" s="309"/>
      <c r="B11" s="399"/>
      <c r="C11" s="310"/>
      <c r="D11" s="310"/>
      <c r="E11" s="310"/>
      <c r="F11" s="310" t="s">
        <v>164</v>
      </c>
      <c r="G11" s="310"/>
      <c r="H11" s="888" t="s">
        <v>20</v>
      </c>
      <c r="I11" s="888"/>
      <c r="J11" s="401">
        <f>SUM(J5:J10)</f>
        <v>61</v>
      </c>
      <c r="K11" s="401"/>
      <c r="L11" s="355"/>
      <c r="M11" s="308"/>
      <c r="Q11" s="746">
        <v>5</v>
      </c>
      <c r="R11" s="517">
        <v>107120000</v>
      </c>
      <c r="S11" s="518">
        <v>85.18</v>
      </c>
      <c r="T11" s="500" t="s">
        <v>245</v>
      </c>
      <c r="U11" s="501"/>
      <c r="X11" s="441"/>
      <c r="Y11" s="495"/>
      <c r="Z11" s="623"/>
      <c r="AA11" s="527"/>
      <c r="AB11" s="527"/>
      <c r="AC11" s="527"/>
      <c r="AD11" s="527"/>
      <c r="AE11" s="534"/>
      <c r="AF11" s="527"/>
      <c r="AG11" s="527"/>
      <c r="AH11" s="528">
        <v>7</v>
      </c>
      <c r="AI11" s="529">
        <v>300</v>
      </c>
      <c r="AJ11" s="524">
        <f t="shared" si="0"/>
        <v>75</v>
      </c>
      <c r="AK11" s="529"/>
      <c r="AL11" s="527">
        <v>75</v>
      </c>
    </row>
    <row r="12" spans="1:40" ht="24" customHeight="1" thickTop="1" x14ac:dyDescent="0.5">
      <c r="A12" s="302" t="s">
        <v>165</v>
      </c>
      <c r="B12" s="391">
        <v>12.5</v>
      </c>
      <c r="C12" s="313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909" t="s">
        <v>14</v>
      </c>
      <c r="I12" s="910"/>
      <c r="J12" s="912" t="s">
        <v>15</v>
      </c>
      <c r="K12" s="912"/>
      <c r="L12" s="304">
        <f>2+O18</f>
        <v>2.1884831460674166</v>
      </c>
      <c r="M12" s="305">
        <f>IF(L12=0,"-",ROUND(L12*B12/B$98,4))</f>
        <v>0.27360000000000001</v>
      </c>
      <c r="N12" s="481" t="s">
        <v>236</v>
      </c>
      <c r="P12" s="506"/>
      <c r="Q12" s="746">
        <v>6</v>
      </c>
      <c r="R12" s="517">
        <v>32849900</v>
      </c>
      <c r="S12" s="518">
        <v>74.459999999999994</v>
      </c>
      <c r="T12" s="500" t="s">
        <v>246</v>
      </c>
      <c r="U12" s="501"/>
      <c r="W12" s="481" t="s">
        <v>213</v>
      </c>
      <c r="X12" s="441"/>
      <c r="Y12" s="463"/>
      <c r="Z12" s="539"/>
      <c r="AA12" s="527"/>
      <c r="AB12" s="527"/>
      <c r="AC12" s="527"/>
      <c r="AD12" s="527"/>
      <c r="AE12" s="527"/>
      <c r="AF12" s="527"/>
      <c r="AG12" s="527"/>
      <c r="AH12" s="528">
        <v>8</v>
      </c>
      <c r="AI12" s="529">
        <v>307</v>
      </c>
      <c r="AJ12" s="524">
        <f t="shared" si="0"/>
        <v>68</v>
      </c>
      <c r="AK12" s="529"/>
      <c r="AL12" s="527">
        <v>68</v>
      </c>
    </row>
    <row r="13" spans="1:40" ht="24" customHeight="1" x14ac:dyDescent="0.5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911"/>
      <c r="I13" s="878"/>
      <c r="J13" s="385" t="s">
        <v>17</v>
      </c>
      <c r="K13" s="367" t="s">
        <v>18</v>
      </c>
      <c r="L13" s="307"/>
      <c r="M13" s="308"/>
      <c r="N13" s="292">
        <v>100</v>
      </c>
      <c r="O13" s="292">
        <v>3500</v>
      </c>
      <c r="P13" s="506"/>
      <c r="Q13" s="746"/>
      <c r="R13" s="517">
        <v>88159600</v>
      </c>
      <c r="S13" s="518">
        <v>49.62</v>
      </c>
      <c r="T13" s="500" t="s">
        <v>247</v>
      </c>
      <c r="U13" s="501"/>
      <c r="X13" s="555" t="s">
        <v>213</v>
      </c>
      <c r="Y13" s="495"/>
      <c r="Z13" s="539"/>
      <c r="AA13" s="527"/>
      <c r="AB13" s="527"/>
      <c r="AC13" s="527"/>
      <c r="AD13" s="527"/>
      <c r="AE13" s="527"/>
      <c r="AF13" s="534"/>
      <c r="AG13" s="527"/>
      <c r="AH13" s="528">
        <v>9</v>
      </c>
      <c r="AI13" s="529">
        <v>296</v>
      </c>
      <c r="AJ13" s="524">
        <f t="shared" si="0"/>
        <v>79</v>
      </c>
      <c r="AK13" s="529"/>
      <c r="AL13" s="527">
        <v>79</v>
      </c>
    </row>
    <row r="14" spans="1:40" ht="24" customHeight="1" x14ac:dyDescent="0.5">
      <c r="A14" s="309"/>
      <c r="B14" s="399"/>
      <c r="C14" s="320"/>
      <c r="D14" s="320"/>
      <c r="E14" s="320"/>
      <c r="F14" s="320"/>
      <c r="G14" s="320"/>
      <c r="H14" s="371" t="s">
        <v>19</v>
      </c>
      <c r="I14" s="373"/>
      <c r="J14" s="398">
        <v>3800</v>
      </c>
      <c r="K14" s="491">
        <v>3800</v>
      </c>
      <c r="L14" s="307"/>
      <c r="M14" s="308"/>
      <c r="N14" s="791">
        <f>S19</f>
        <v>74.53</v>
      </c>
      <c r="O14" s="292">
        <f>O13*N14/N13</f>
        <v>2608.5500000000002</v>
      </c>
      <c r="Q14" s="746"/>
      <c r="R14" s="517">
        <v>62829593</v>
      </c>
      <c r="S14" s="518">
        <v>99.85</v>
      </c>
      <c r="T14" s="500" t="s">
        <v>249</v>
      </c>
      <c r="U14" s="501"/>
      <c r="X14" s="441"/>
      <c r="Y14" s="713" t="s">
        <v>213</v>
      </c>
      <c r="Z14" s="539"/>
      <c r="AA14" s="527"/>
      <c r="AB14" s="527"/>
      <c r="AC14" s="527"/>
      <c r="AD14" s="527"/>
      <c r="AE14" s="527"/>
      <c r="AF14" s="527"/>
      <c r="AG14" s="527"/>
      <c r="AH14" s="528">
        <v>10</v>
      </c>
      <c r="AI14" s="529">
        <v>303</v>
      </c>
      <c r="AJ14" s="524">
        <f t="shared" si="0"/>
        <v>72</v>
      </c>
      <c r="AK14" s="529"/>
      <c r="AL14" s="527">
        <v>72</v>
      </c>
    </row>
    <row r="15" spans="1:40" ht="24" customHeight="1" x14ac:dyDescent="0.5">
      <c r="A15" s="309"/>
      <c r="B15" s="399"/>
      <c r="C15" s="320"/>
      <c r="D15" s="320"/>
      <c r="E15" s="320"/>
      <c r="F15" s="320"/>
      <c r="G15" s="320"/>
      <c r="H15" s="880" t="s">
        <v>140</v>
      </c>
      <c r="I15" s="881"/>
      <c r="J15" s="400"/>
      <c r="K15" s="368"/>
      <c r="L15" s="307"/>
      <c r="M15" s="308"/>
      <c r="O15" s="314"/>
      <c r="P15" s="506"/>
      <c r="Q15" s="746"/>
      <c r="R15" s="517">
        <v>30132500</v>
      </c>
      <c r="S15" s="518">
        <v>60.89</v>
      </c>
      <c r="T15" s="500" t="s">
        <v>248</v>
      </c>
      <c r="U15" s="501"/>
      <c r="W15" s="481" t="s">
        <v>213</v>
      </c>
      <c r="X15" s="441"/>
      <c r="Y15" s="495"/>
      <c r="Z15" s="539"/>
      <c r="AA15" s="527"/>
      <c r="AB15" s="527"/>
      <c r="AC15" s="527"/>
      <c r="AD15" s="527"/>
      <c r="AE15" s="527"/>
      <c r="AF15" s="527"/>
      <c r="AG15" s="527"/>
      <c r="AH15" s="528">
        <v>11</v>
      </c>
      <c r="AI15" s="529">
        <v>295</v>
      </c>
      <c r="AJ15" s="524">
        <f t="shared" si="0"/>
        <v>80</v>
      </c>
      <c r="AK15" s="529"/>
      <c r="AL15" s="527">
        <v>80</v>
      </c>
    </row>
    <row r="16" spans="1:40" ht="24" customHeight="1" x14ac:dyDescent="0.5">
      <c r="A16" s="309"/>
      <c r="B16" s="399"/>
      <c r="C16" s="320"/>
      <c r="D16" s="320"/>
      <c r="E16" s="320"/>
      <c r="F16" s="320"/>
      <c r="G16" s="320"/>
      <c r="H16" s="880"/>
      <c r="I16" s="881"/>
      <c r="J16" s="400"/>
      <c r="K16" s="321"/>
      <c r="L16" s="307"/>
      <c r="M16" s="308"/>
      <c r="Q16" s="746">
        <v>7</v>
      </c>
      <c r="R16" s="517">
        <v>638138255</v>
      </c>
      <c r="S16" s="518">
        <v>97.34</v>
      </c>
      <c r="T16" s="500" t="s">
        <v>250</v>
      </c>
      <c r="U16" s="501"/>
      <c r="X16" s="441"/>
      <c r="Y16" s="495"/>
      <c r="Z16" s="539"/>
      <c r="AA16" s="527"/>
      <c r="AB16" s="527"/>
      <c r="AC16" s="527"/>
      <c r="AD16" s="527"/>
      <c r="AE16" s="527"/>
      <c r="AF16" s="527"/>
      <c r="AG16" s="527"/>
      <c r="AH16" s="528">
        <v>12</v>
      </c>
      <c r="AI16" s="529">
        <v>295</v>
      </c>
      <c r="AJ16" s="524">
        <f>$AK$3-AI16-AK16</f>
        <v>75</v>
      </c>
      <c r="AK16" s="529">
        <v>5</v>
      </c>
      <c r="AL16" s="527">
        <v>75</v>
      </c>
    </row>
    <row r="17" spans="1:38" ht="24" customHeight="1" x14ac:dyDescent="0.5">
      <c r="A17" s="309"/>
      <c r="B17" s="399"/>
      <c r="C17" s="320"/>
      <c r="D17" s="320"/>
      <c r="E17" s="320"/>
      <c r="F17" s="320"/>
      <c r="G17" s="320"/>
      <c r="H17" s="369" t="s">
        <v>167</v>
      </c>
      <c r="I17" s="370"/>
      <c r="J17" s="400">
        <v>3500</v>
      </c>
      <c r="K17" s="427">
        <f>O14</f>
        <v>2608.5500000000002</v>
      </c>
      <c r="L17" s="307"/>
      <c r="M17" s="308"/>
      <c r="N17" s="314">
        <f>D12-C12</f>
        <v>178</v>
      </c>
      <c r="O17" s="292">
        <v>1</v>
      </c>
      <c r="Q17" s="746">
        <v>8</v>
      </c>
      <c r="R17" s="517">
        <v>112978732</v>
      </c>
      <c r="S17" s="518">
        <v>92.481999999999999</v>
      </c>
      <c r="T17" s="500" t="s">
        <v>251</v>
      </c>
      <c r="U17" s="501"/>
      <c r="W17" s="481" t="s">
        <v>213</v>
      </c>
      <c r="X17" s="441"/>
      <c r="Y17" s="495"/>
      <c r="Z17" s="539"/>
      <c r="AA17" s="527"/>
      <c r="AB17" s="527"/>
      <c r="AC17" s="527"/>
      <c r="AD17" s="527"/>
      <c r="AE17" s="527"/>
      <c r="AF17" s="527"/>
      <c r="AG17" s="527"/>
      <c r="AH17" s="528">
        <v>13</v>
      </c>
      <c r="AI17" s="529">
        <v>292</v>
      </c>
      <c r="AJ17" s="524">
        <f>$AK$3-AI17-AK17</f>
        <v>76</v>
      </c>
      <c r="AK17" s="529">
        <v>7</v>
      </c>
      <c r="AL17" s="527">
        <v>76</v>
      </c>
    </row>
    <row r="18" spans="1:38" ht="24" customHeight="1" x14ac:dyDescent="0.5">
      <c r="A18" s="309"/>
      <c r="B18" s="399"/>
      <c r="C18" s="320"/>
      <c r="D18" s="320"/>
      <c r="E18" s="320"/>
      <c r="F18" s="320"/>
      <c r="G18" s="320"/>
      <c r="H18" s="880" t="s">
        <v>168</v>
      </c>
      <c r="I18" s="881"/>
      <c r="J18" s="400"/>
      <c r="K18" s="321"/>
      <c r="L18" s="307"/>
      <c r="M18" s="308"/>
      <c r="N18" s="314">
        <f>K20-D12</f>
        <v>33.550000000000182</v>
      </c>
      <c r="O18" s="292">
        <f>O17*N18/N17</f>
        <v>0.18848314606741676</v>
      </c>
      <c r="Q18" s="746">
        <v>9</v>
      </c>
      <c r="R18" s="473">
        <v>249419650</v>
      </c>
      <c r="S18" s="620">
        <v>99.185000000000002</v>
      </c>
      <c r="T18" s="500" t="s">
        <v>252</v>
      </c>
      <c r="U18" s="501"/>
      <c r="X18" s="555" t="s">
        <v>213</v>
      </c>
      <c r="Y18" s="495"/>
      <c r="Z18" s="539"/>
      <c r="AA18" s="527"/>
      <c r="AB18" s="527"/>
      <c r="AC18" s="527"/>
      <c r="AD18" s="527"/>
      <c r="AE18" s="527"/>
      <c r="AF18" s="527"/>
      <c r="AG18" s="527"/>
      <c r="AH18" s="528">
        <v>14</v>
      </c>
      <c r="AI18" s="529">
        <v>296</v>
      </c>
      <c r="AJ18" s="524">
        <f>$AK$3-AI18-AK18</f>
        <v>77</v>
      </c>
      <c r="AK18" s="529">
        <v>2</v>
      </c>
      <c r="AL18" s="527">
        <v>77</v>
      </c>
    </row>
    <row r="19" spans="1:38" ht="24" customHeight="1" x14ac:dyDescent="0.5">
      <c r="A19" s="309"/>
      <c r="B19" s="399"/>
      <c r="C19" s="320"/>
      <c r="D19" s="320"/>
      <c r="E19" s="320"/>
      <c r="F19" s="320"/>
      <c r="G19" s="320"/>
      <c r="H19" s="889"/>
      <c r="I19" s="890"/>
      <c r="J19" s="400"/>
      <c r="K19" s="321"/>
      <c r="L19" s="307"/>
      <c r="M19" s="308"/>
      <c r="O19" s="436"/>
      <c r="Q19" s="746" t="s">
        <v>503</v>
      </c>
      <c r="R19" s="473">
        <v>98622800</v>
      </c>
      <c r="S19" s="620">
        <v>74.53</v>
      </c>
      <c r="T19" s="500" t="s">
        <v>253</v>
      </c>
      <c r="U19" s="501"/>
      <c r="X19" s="555" t="s">
        <v>213</v>
      </c>
      <c r="Y19" s="495"/>
      <c r="Z19" s="539"/>
      <c r="AA19" s="527"/>
      <c r="AB19" s="527"/>
      <c r="AC19" s="527"/>
      <c r="AD19" s="527"/>
      <c r="AE19" s="527"/>
      <c r="AF19" s="527"/>
      <c r="AG19" s="527"/>
      <c r="AH19" s="528">
        <v>15</v>
      </c>
      <c r="AI19" s="529">
        <v>291</v>
      </c>
      <c r="AJ19" s="524">
        <f>$AK$3-AI19</f>
        <v>84</v>
      </c>
      <c r="AK19" s="529"/>
      <c r="AL19" s="527">
        <v>84</v>
      </c>
    </row>
    <row r="20" spans="1:38" ht="24" customHeight="1" thickBot="1" x14ac:dyDescent="0.55000000000000004">
      <c r="A20" s="309"/>
      <c r="B20" s="399"/>
      <c r="C20" s="320"/>
      <c r="D20" s="320"/>
      <c r="E20" s="320"/>
      <c r="F20" s="320"/>
      <c r="G20" s="320"/>
      <c r="H20" s="888" t="s">
        <v>20</v>
      </c>
      <c r="I20" s="888"/>
      <c r="J20" s="401">
        <f>SUM(J14:J19)</f>
        <v>7300</v>
      </c>
      <c r="K20" s="428">
        <f>K14+K17</f>
        <v>6408.55</v>
      </c>
      <c r="L20" s="307"/>
      <c r="M20" s="308"/>
      <c r="P20" s="506"/>
      <c r="Q20" s="497"/>
      <c r="R20" s="473">
        <v>23151000</v>
      </c>
      <c r="S20" s="620">
        <v>68.147000000000006</v>
      </c>
      <c r="T20" s="500" t="s">
        <v>254</v>
      </c>
      <c r="U20" s="501"/>
      <c r="X20" s="441"/>
      <c r="Y20" s="713" t="s">
        <v>213</v>
      </c>
      <c r="Z20" s="539"/>
      <c r="AA20" s="527"/>
      <c r="AB20" s="527"/>
      <c r="AC20" s="527"/>
      <c r="AD20" s="527"/>
      <c r="AE20" s="527"/>
      <c r="AF20" s="527"/>
      <c r="AG20" s="527"/>
      <c r="AH20" s="528">
        <v>16</v>
      </c>
      <c r="AI20" s="529">
        <v>308</v>
      </c>
      <c r="AJ20" s="524">
        <f>$AK$3-AI20</f>
        <v>67</v>
      </c>
      <c r="AK20" s="529"/>
      <c r="AL20" s="527">
        <v>67</v>
      </c>
    </row>
    <row r="21" spans="1:38" ht="24" customHeight="1" thickTop="1" x14ac:dyDescent="0.5">
      <c r="A21" s="302" t="s">
        <v>169</v>
      </c>
      <c r="B21" s="391">
        <v>4.17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894" t="s">
        <v>141</v>
      </c>
      <c r="I21" s="895"/>
      <c r="J21" s="895"/>
      <c r="K21" s="896"/>
      <c r="L21" s="304">
        <f>5-O24</f>
        <v>4.8019259259259259</v>
      </c>
      <c r="M21" s="305">
        <f>IF(L21=0,"-",ROUND(L21*B21/B$98,4))</f>
        <v>0.20019999999999999</v>
      </c>
      <c r="N21" s="425" t="s">
        <v>213</v>
      </c>
      <c r="P21" s="506"/>
      <c r="Q21" s="497"/>
      <c r="R21" s="473">
        <v>188867200</v>
      </c>
      <c r="S21" s="620">
        <v>5.1020000000000003</v>
      </c>
      <c r="T21" s="500" t="s">
        <v>255</v>
      </c>
      <c r="U21" s="501"/>
      <c r="X21" s="481" t="s">
        <v>498</v>
      </c>
      <c r="Y21" s="495"/>
      <c r="Z21" s="539"/>
      <c r="AA21" s="527"/>
      <c r="AB21" s="527"/>
      <c r="AC21" s="527"/>
      <c r="AD21" s="527"/>
      <c r="AE21" s="527"/>
      <c r="AF21" s="527"/>
      <c r="AG21" s="527"/>
      <c r="AH21" s="528">
        <v>17</v>
      </c>
      <c r="AI21" s="529">
        <v>301</v>
      </c>
      <c r="AJ21" s="524">
        <f>$AK$3-AI21</f>
        <v>74</v>
      </c>
      <c r="AK21" s="529"/>
      <c r="AL21" s="527">
        <v>74</v>
      </c>
    </row>
    <row r="22" spans="1:38" ht="24" customHeight="1" x14ac:dyDescent="0.5">
      <c r="A22" s="309" t="s">
        <v>44</v>
      </c>
      <c r="B22" s="399"/>
      <c r="C22" s="320"/>
      <c r="D22" s="320"/>
      <c r="E22" s="320"/>
      <c r="F22" s="320"/>
      <c r="G22" s="320"/>
      <c r="H22" s="880" t="s">
        <v>142</v>
      </c>
      <c r="I22" s="887"/>
      <c r="J22" s="887"/>
      <c r="K22" s="881"/>
      <c r="L22" s="307"/>
      <c r="M22" s="308"/>
      <c r="N22" s="481" t="s">
        <v>236</v>
      </c>
      <c r="Q22" s="746">
        <v>10</v>
      </c>
      <c r="R22" s="517">
        <v>289746900</v>
      </c>
      <c r="S22" s="518">
        <v>76.025000000000006</v>
      </c>
      <c r="T22" s="500" t="s">
        <v>256</v>
      </c>
      <c r="U22" s="501"/>
      <c r="X22" s="555" t="s">
        <v>213</v>
      </c>
      <c r="Y22" s="495"/>
      <c r="Z22" s="539"/>
      <c r="AA22" s="527"/>
      <c r="AB22" s="527"/>
      <c r="AC22" s="527"/>
      <c r="AD22" s="527"/>
      <c r="AE22" s="527"/>
      <c r="AF22" s="527"/>
      <c r="AG22" s="527"/>
      <c r="AH22" s="535">
        <v>18</v>
      </c>
      <c r="AI22" s="536">
        <v>315</v>
      </c>
      <c r="AJ22" s="524">
        <f>$AK$3-AI22</f>
        <v>60</v>
      </c>
      <c r="AK22" s="536"/>
      <c r="AL22" s="527">
        <v>60</v>
      </c>
    </row>
    <row r="23" spans="1:38" ht="24" customHeight="1" x14ac:dyDescent="0.5">
      <c r="A23" s="309"/>
      <c r="B23" s="399"/>
      <c r="C23" s="320"/>
      <c r="D23" s="320"/>
      <c r="E23" s="320"/>
      <c r="F23" s="320"/>
      <c r="G23" s="320"/>
      <c r="H23" s="880" t="s">
        <v>143</v>
      </c>
      <c r="I23" s="887"/>
      <c r="J23" s="887"/>
      <c r="K23" s="881"/>
      <c r="L23" s="307"/>
      <c r="M23" s="308"/>
      <c r="N23" s="292">
        <v>5</v>
      </c>
      <c r="O23" s="292">
        <v>1</v>
      </c>
      <c r="Q23" s="497"/>
      <c r="R23" s="517">
        <v>55458000</v>
      </c>
      <c r="S23" s="518">
        <v>78</v>
      </c>
      <c r="T23" s="500" t="s">
        <v>257</v>
      </c>
      <c r="U23" s="501"/>
      <c r="X23" s="555" t="s">
        <v>213</v>
      </c>
      <c r="Y23" s="463"/>
      <c r="Z23" s="539"/>
      <c r="AA23" s="527"/>
      <c r="AB23" s="527"/>
      <c r="AC23" s="527"/>
      <c r="AD23" s="527"/>
      <c r="AE23" s="527"/>
      <c r="AF23" s="527"/>
      <c r="AG23" s="527"/>
      <c r="AH23" s="537" t="s">
        <v>20</v>
      </c>
      <c r="AI23" s="538">
        <f>SUM(AI5:AI22)</f>
        <v>5427</v>
      </c>
      <c r="AJ23" s="538">
        <f>SUM(AJ5:AJ22)</f>
        <v>1309</v>
      </c>
      <c r="AK23" s="538">
        <f>SUM(AK5:AK22)</f>
        <v>14</v>
      </c>
      <c r="AL23" s="527"/>
    </row>
    <row r="24" spans="1:38" ht="24" customHeight="1" x14ac:dyDescent="0.5">
      <c r="A24" s="309"/>
      <c r="B24" s="399"/>
      <c r="C24" s="320"/>
      <c r="D24" s="320"/>
      <c r="E24" s="320"/>
      <c r="F24" s="320"/>
      <c r="G24" s="320"/>
      <c r="H24" s="880" t="s">
        <v>144</v>
      </c>
      <c r="I24" s="887"/>
      <c r="J24" s="887"/>
      <c r="K24" s="881"/>
      <c r="L24" s="307"/>
      <c r="M24" s="308"/>
      <c r="N24" s="540">
        <f>85-J26</f>
        <v>0.99037037037037123</v>
      </c>
      <c r="O24" s="540">
        <f>O23*N24/N23</f>
        <v>0.19807407407407424</v>
      </c>
      <c r="Q24" s="746">
        <v>11</v>
      </c>
      <c r="R24" s="773">
        <v>744102779</v>
      </c>
      <c r="S24" s="518">
        <v>91.531999999999996</v>
      </c>
      <c r="T24" s="500" t="s">
        <v>258</v>
      </c>
      <c r="U24" s="501"/>
      <c r="X24" s="719"/>
      <c r="Y24" s="463"/>
      <c r="Z24" s="539"/>
    </row>
    <row r="25" spans="1:38" ht="24" customHeight="1" x14ac:dyDescent="0.5">
      <c r="A25" s="309"/>
      <c r="B25" s="399"/>
      <c r="C25" s="320"/>
      <c r="D25" s="320"/>
      <c r="E25" s="320"/>
      <c r="F25" s="320"/>
      <c r="G25" s="320"/>
      <c r="H25" s="880" t="s">
        <v>170</v>
      </c>
      <c r="I25" s="887"/>
      <c r="J25" s="887"/>
      <c r="K25" s="881"/>
      <c r="L25" s="307"/>
      <c r="M25" s="308"/>
      <c r="Q25" s="497"/>
      <c r="R25" s="773">
        <v>145982535</v>
      </c>
      <c r="S25" s="518">
        <v>97.65</v>
      </c>
      <c r="T25" s="500" t="s">
        <v>259</v>
      </c>
      <c r="U25" s="501"/>
      <c r="X25" s="555" t="s">
        <v>213</v>
      </c>
      <c r="Y25" s="463"/>
      <c r="Z25" s="539"/>
      <c r="AA25" s="441"/>
      <c r="AB25" s="441"/>
      <c r="AC25" s="441"/>
      <c r="AD25" s="441"/>
      <c r="AE25" s="441"/>
      <c r="AF25" s="441"/>
      <c r="AG25" s="441"/>
      <c r="AH25" s="441"/>
      <c r="AI25" s="441"/>
    </row>
    <row r="26" spans="1:38" ht="24" customHeight="1" x14ac:dyDescent="0.5">
      <c r="A26" s="309"/>
      <c r="B26" s="399"/>
      <c r="C26" s="320"/>
      <c r="D26" s="320"/>
      <c r="E26" s="320"/>
      <c r="F26" s="320"/>
      <c r="G26" s="320"/>
      <c r="I26" s="323" t="s">
        <v>54</v>
      </c>
      <c r="J26" s="324">
        <f>AF6</f>
        <v>84.009629629629629</v>
      </c>
      <c r="K26" s="370" t="s">
        <v>51</v>
      </c>
      <c r="L26" s="307"/>
      <c r="M26" s="308"/>
      <c r="Q26" s="497"/>
      <c r="R26" s="774">
        <v>187050000</v>
      </c>
      <c r="S26" s="775">
        <v>14.55</v>
      </c>
      <c r="T26" s="500" t="s">
        <v>260</v>
      </c>
      <c r="U26" s="501"/>
      <c r="W26" s="719"/>
      <c r="X26" s="441"/>
      <c r="Y26" s="463"/>
      <c r="Z26" s="453">
        <v>249419650</v>
      </c>
      <c r="AA26" s="620">
        <v>79.709999999999994</v>
      </c>
      <c r="AB26" s="441"/>
      <c r="AC26" s="441"/>
      <c r="AD26" s="441"/>
      <c r="AE26" s="441"/>
      <c r="AF26" s="441"/>
      <c r="AG26" s="441"/>
      <c r="AH26" s="441"/>
      <c r="AI26" s="441"/>
    </row>
    <row r="27" spans="1:38" ht="24" customHeight="1" x14ac:dyDescent="0.5">
      <c r="A27" s="325"/>
      <c r="B27" s="402"/>
      <c r="C27" s="310"/>
      <c r="D27" s="310"/>
      <c r="E27" s="310"/>
      <c r="F27" s="310"/>
      <c r="G27" s="310"/>
      <c r="H27" s="891" t="s">
        <v>316</v>
      </c>
      <c r="I27" s="892"/>
      <c r="J27" s="892"/>
      <c r="K27" s="893"/>
      <c r="L27" s="326"/>
      <c r="M27" s="299"/>
      <c r="P27" s="481" t="s">
        <v>490</v>
      </c>
      <c r="Q27" s="497">
        <v>12</v>
      </c>
      <c r="R27" s="517">
        <v>207231260</v>
      </c>
      <c r="S27" s="518">
        <v>71.3</v>
      </c>
      <c r="T27" s="500" t="s">
        <v>261</v>
      </c>
      <c r="U27" s="501"/>
      <c r="X27" s="441"/>
      <c r="Y27" s="463"/>
      <c r="Z27" s="453">
        <v>98622800</v>
      </c>
      <c r="AA27" s="620">
        <v>53.06</v>
      </c>
      <c r="AB27" s="496"/>
      <c r="AC27" s="441"/>
      <c r="AD27" s="441"/>
      <c r="AE27" s="441"/>
      <c r="AF27" s="441"/>
      <c r="AG27" s="441"/>
      <c r="AH27" s="441"/>
      <c r="AI27" s="441"/>
    </row>
    <row r="28" spans="1:38" ht="24" customHeight="1" x14ac:dyDescent="0.5">
      <c r="A28" s="302" t="s">
        <v>53</v>
      </c>
      <c r="B28" s="403">
        <v>12.5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882" t="s">
        <v>171</v>
      </c>
      <c r="I28" s="882"/>
      <c r="J28" s="882"/>
      <c r="K28" s="883"/>
      <c r="L28" s="304">
        <f>2+P30</f>
        <v>2.905574760639118</v>
      </c>
      <c r="M28" s="305">
        <f>IF(L28=0,"-",ROUND(L28*B28/B$98,4))</f>
        <v>0.36320000000000002</v>
      </c>
      <c r="N28" s="425" t="s">
        <v>213</v>
      </c>
      <c r="Q28" s="497">
        <v>13</v>
      </c>
      <c r="R28" s="517">
        <v>85676200</v>
      </c>
      <c r="S28" s="518">
        <v>82.22</v>
      </c>
      <c r="T28" s="500" t="s">
        <v>262</v>
      </c>
      <c r="U28" s="501"/>
      <c r="X28" s="555" t="s">
        <v>213</v>
      </c>
      <c r="Y28" s="463"/>
      <c r="Z28" s="453">
        <v>23151000</v>
      </c>
      <c r="AA28" s="620">
        <v>68.147000000000006</v>
      </c>
      <c r="AB28" s="496"/>
      <c r="AC28" s="441"/>
      <c r="AD28" s="441"/>
      <c r="AE28" s="441"/>
      <c r="AF28" s="441"/>
      <c r="AG28" s="441"/>
      <c r="AH28" s="441"/>
      <c r="AI28" s="441"/>
    </row>
    <row r="29" spans="1:38" ht="24" customHeight="1" x14ac:dyDescent="0.35">
      <c r="A29" s="309" t="s">
        <v>21</v>
      </c>
      <c r="B29" s="352"/>
      <c r="C29" s="320"/>
      <c r="D29" s="320"/>
      <c r="E29" s="320"/>
      <c r="F29" s="320"/>
      <c r="G29" s="320"/>
      <c r="H29" s="884" t="s">
        <v>83</v>
      </c>
      <c r="I29" s="885"/>
      <c r="J29" s="885"/>
      <c r="K29" s="886"/>
      <c r="L29" s="307"/>
      <c r="M29" s="308"/>
      <c r="N29" s="448" t="s">
        <v>199</v>
      </c>
      <c r="O29" s="292">
        <v>10</v>
      </c>
      <c r="P29" s="292">
        <v>1</v>
      </c>
      <c r="Q29" s="497"/>
      <c r="R29" s="517">
        <v>14660908</v>
      </c>
      <c r="S29" s="518">
        <v>100</v>
      </c>
      <c r="T29" s="500" t="s">
        <v>263</v>
      </c>
      <c r="U29" s="501"/>
      <c r="Z29" s="453">
        <v>188867200</v>
      </c>
      <c r="AA29" s="620">
        <v>5.1020000000000003</v>
      </c>
      <c r="AB29" s="441"/>
      <c r="AC29" s="441"/>
      <c r="AD29" s="441"/>
      <c r="AE29" s="441"/>
      <c r="AF29" s="441"/>
      <c r="AG29" s="441"/>
      <c r="AH29" s="441"/>
      <c r="AI29" s="441"/>
    </row>
    <row r="30" spans="1:38" ht="24" customHeight="1" x14ac:dyDescent="0.35">
      <c r="A30" s="309"/>
      <c r="B30" s="352"/>
      <c r="C30" s="320"/>
      <c r="D30" s="320"/>
      <c r="E30" s="320"/>
      <c r="F30" s="320"/>
      <c r="G30" s="320"/>
      <c r="H30" s="884" t="s">
        <v>172</v>
      </c>
      <c r="I30" s="885"/>
      <c r="J30" s="885"/>
      <c r="K30" s="886"/>
      <c r="L30" s="307"/>
      <c r="M30" s="308"/>
      <c r="N30" s="490" t="s">
        <v>236</v>
      </c>
      <c r="O30" s="542">
        <f>J33-70</f>
        <v>9.0557476063911793</v>
      </c>
      <c r="P30" s="292">
        <f>P29*O30/O29</f>
        <v>0.9055747606391179</v>
      </c>
      <c r="Q30" s="497"/>
      <c r="R30" s="517">
        <v>68250000</v>
      </c>
      <c r="S30" s="518">
        <v>98.66</v>
      </c>
      <c r="T30" s="500" t="s">
        <v>264</v>
      </c>
      <c r="U30" s="501"/>
      <c r="Y30" s="447"/>
      <c r="Z30" s="539"/>
      <c r="AA30" s="764"/>
      <c r="AB30" s="764"/>
      <c r="AC30" s="441"/>
      <c r="AD30" s="441"/>
      <c r="AE30" s="441"/>
      <c r="AF30" s="441"/>
      <c r="AG30" s="441"/>
      <c r="AH30" s="441"/>
      <c r="AI30" s="441"/>
    </row>
    <row r="31" spans="1:38" ht="24" customHeight="1" x14ac:dyDescent="0.35">
      <c r="A31" s="309"/>
      <c r="B31" s="352"/>
      <c r="C31" s="320"/>
      <c r="D31" s="320"/>
      <c r="E31" s="320"/>
      <c r="F31" s="320"/>
      <c r="G31" s="320"/>
      <c r="H31" s="781" t="s">
        <v>173</v>
      </c>
      <c r="I31" s="734"/>
      <c r="J31" s="782"/>
      <c r="K31" s="733"/>
      <c r="L31" s="307"/>
      <c r="M31" s="308"/>
      <c r="Q31" s="494"/>
      <c r="R31" s="447">
        <f>SUM(R5:R9)+SUM(R10:R20)+SUM(R22:R23)+SUM(R24:R26)+SUM(R27:R30)</f>
        <v>5348972259</v>
      </c>
      <c r="S31" s="515">
        <f>((R5*S5)+(R6*S6)+(R7*S7)+(R8*S8)+(S9*R9)+(R10+S10)+(R11*S11)+(R12*S12)+(R13*S13)+(R14*S14)+(R15*S15)+(R16*S16)+(R17*S17)+(R18*S18)+(R19*S19)+(R20*S20)+(R22*S22)+(R23*S23)+(R24*S24)+(R25*S25)+(R26*S26)+(R27*S27)+(R28*S28)+(R29*S29)+(R30*S30))/R31</f>
        <v>79.055747606391179</v>
      </c>
      <c r="T31" s="913" t="s">
        <v>51</v>
      </c>
      <c r="U31" s="913"/>
      <c r="V31" s="314"/>
      <c r="W31" s="298"/>
      <c r="AA31" s="441"/>
      <c r="AB31" s="441"/>
      <c r="AC31" s="441"/>
      <c r="AD31" s="441"/>
      <c r="AE31" s="441"/>
      <c r="AF31" s="441"/>
      <c r="AG31" s="441"/>
      <c r="AH31" s="441"/>
      <c r="AI31" s="441"/>
    </row>
    <row r="32" spans="1:38" ht="24" customHeight="1" x14ac:dyDescent="0.35">
      <c r="A32" s="309"/>
      <c r="B32" s="352"/>
      <c r="C32" s="320"/>
      <c r="D32" s="320"/>
      <c r="E32" s="320"/>
      <c r="F32" s="320"/>
      <c r="G32" s="320"/>
      <c r="H32" s="781"/>
      <c r="I32" s="734"/>
      <c r="J32" s="782"/>
      <c r="K32" s="733"/>
      <c r="L32" s="307"/>
      <c r="M32" s="308"/>
      <c r="P32" s="436" t="s">
        <v>226</v>
      </c>
      <c r="V32" s="298" t="s">
        <v>228</v>
      </c>
      <c r="W32" s="298" t="s">
        <v>229</v>
      </c>
      <c r="X32" s="298" t="s">
        <v>238</v>
      </c>
      <c r="AA32" s="441"/>
      <c r="AB32" s="441"/>
      <c r="AC32" s="441"/>
      <c r="AD32" s="441"/>
      <c r="AE32" s="441"/>
      <c r="AF32" s="441"/>
      <c r="AG32" s="441"/>
      <c r="AH32" s="441"/>
      <c r="AI32" s="441"/>
    </row>
    <row r="33" spans="1:39" ht="24" customHeight="1" x14ac:dyDescent="0.35">
      <c r="A33" s="309"/>
      <c r="B33" s="352"/>
      <c r="C33" s="320"/>
      <c r="D33" s="320"/>
      <c r="E33" s="320"/>
      <c r="F33" s="320"/>
      <c r="G33" s="320"/>
      <c r="H33" s="781"/>
      <c r="I33" s="734" t="s">
        <v>174</v>
      </c>
      <c r="J33" s="783">
        <f>S31</f>
        <v>79.055747606391179</v>
      </c>
      <c r="K33" s="733" t="s">
        <v>51</v>
      </c>
      <c r="L33" s="307"/>
      <c r="M33" s="308"/>
      <c r="N33" s="506"/>
      <c r="O33" s="437">
        <v>1</v>
      </c>
      <c r="P33" s="438" t="s">
        <v>204</v>
      </c>
      <c r="Q33" s="438"/>
      <c r="R33" s="438"/>
      <c r="S33" s="438"/>
      <c r="T33" s="438"/>
      <c r="U33" s="753" t="s">
        <v>213</v>
      </c>
      <c r="V33" s="439">
        <f>R12</f>
        <v>32849900</v>
      </c>
      <c r="W33" s="779">
        <v>24459884.5</v>
      </c>
      <c r="X33" s="498">
        <f>S12</f>
        <v>74.459999999999994</v>
      </c>
      <c r="Y33" s="292" t="s">
        <v>221</v>
      </c>
      <c r="Z33" s="447"/>
      <c r="AA33" s="765"/>
      <c r="AB33" s="441"/>
      <c r="AC33" s="441"/>
      <c r="AD33" s="441"/>
      <c r="AE33" s="441"/>
      <c r="AF33" s="441"/>
      <c r="AG33" s="441"/>
      <c r="AH33" s="441"/>
      <c r="AI33" s="441"/>
    </row>
    <row r="34" spans="1:39" ht="24" customHeight="1" x14ac:dyDescent="0.35">
      <c r="A34" s="325"/>
      <c r="B34" s="359"/>
      <c r="C34" s="310"/>
      <c r="D34" s="310"/>
      <c r="E34" s="310"/>
      <c r="F34" s="310"/>
      <c r="G34" s="310"/>
      <c r="H34" s="784"/>
      <c r="I34" s="785"/>
      <c r="J34" s="786"/>
      <c r="K34" s="787"/>
      <c r="L34" s="326"/>
      <c r="M34" s="299"/>
      <c r="N34" s="506"/>
      <c r="O34" s="440">
        <v>2</v>
      </c>
      <c r="P34" s="441" t="s">
        <v>205</v>
      </c>
      <c r="Q34" s="441"/>
      <c r="R34" s="441"/>
      <c r="S34" s="441"/>
      <c r="T34" s="441"/>
      <c r="U34" s="741" t="s">
        <v>213</v>
      </c>
      <c r="V34" s="442">
        <f>R13</f>
        <v>88159600</v>
      </c>
      <c r="W34" s="780">
        <v>43745883.950000003</v>
      </c>
      <c r="X34" s="505">
        <f>S13</f>
        <v>49.62</v>
      </c>
      <c r="Z34" s="447"/>
      <c r="AA34" s="766"/>
      <c r="AB34" s="767"/>
      <c r="AC34" s="768"/>
      <c r="AD34" s="767"/>
      <c r="AE34" s="768"/>
      <c r="AF34" s="768"/>
      <c r="AG34" s="769"/>
      <c r="AH34" s="441"/>
      <c r="AI34" s="441"/>
    </row>
    <row r="35" spans="1:39" ht="24" customHeight="1" x14ac:dyDescent="0.35">
      <c r="A35" s="302" t="s">
        <v>175</v>
      </c>
      <c r="B35" s="403">
        <v>12.5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882" t="s">
        <v>176</v>
      </c>
      <c r="I35" s="882"/>
      <c r="J35" s="882"/>
      <c r="K35" s="883"/>
      <c r="L35" s="304">
        <f>1+W43</f>
        <v>3.1917203355868424</v>
      </c>
      <c r="M35" s="305">
        <f>IF(L35=0,"-",ROUND(L35*B35/B$98,4))</f>
        <v>0.39900000000000002</v>
      </c>
      <c r="N35" s="425" t="s">
        <v>213</v>
      </c>
      <c r="O35" s="443">
        <v>3</v>
      </c>
      <c r="P35" s="444" t="s">
        <v>206</v>
      </c>
      <c r="Q35" s="444"/>
      <c r="R35" s="444"/>
      <c r="S35" s="444"/>
      <c r="T35" s="444"/>
      <c r="U35" s="754" t="s">
        <v>213</v>
      </c>
      <c r="V35" s="445">
        <f>R15</f>
        <v>30132500</v>
      </c>
      <c r="W35" s="780">
        <v>18346809.079999998</v>
      </c>
      <c r="X35" s="505">
        <f>S15</f>
        <v>60.89</v>
      </c>
      <c r="Y35" s="481"/>
      <c r="Z35" s="447"/>
      <c r="AA35" s="766"/>
      <c r="AB35" s="767"/>
      <c r="AC35" s="768"/>
      <c r="AD35" s="767"/>
      <c r="AE35" s="768"/>
      <c r="AF35" s="768"/>
      <c r="AG35" s="769"/>
      <c r="AH35" s="441"/>
      <c r="AI35" s="441"/>
    </row>
    <row r="36" spans="1:39" ht="24" customHeight="1" x14ac:dyDescent="0.35">
      <c r="A36" s="309" t="s">
        <v>177</v>
      </c>
      <c r="B36" s="352"/>
      <c r="C36" s="320"/>
      <c r="D36" s="320"/>
      <c r="E36" s="320"/>
      <c r="F36" s="320"/>
      <c r="G36" s="320"/>
      <c r="H36" s="788" t="s">
        <v>178</v>
      </c>
      <c r="I36" s="789"/>
      <c r="J36" s="789"/>
      <c r="K36" s="789"/>
      <c r="L36" s="307"/>
      <c r="M36" s="308"/>
      <c r="N36" s="449" t="s">
        <v>227</v>
      </c>
      <c r="O36" s="437">
        <v>4</v>
      </c>
      <c r="P36" s="438" t="s">
        <v>207</v>
      </c>
      <c r="Q36" s="438"/>
      <c r="R36" s="438"/>
      <c r="S36" s="438"/>
      <c r="T36" s="438"/>
      <c r="U36" s="753" t="s">
        <v>213</v>
      </c>
      <c r="V36" s="439">
        <f>R20</f>
        <v>23151000</v>
      </c>
      <c r="W36" s="474">
        <v>22681000</v>
      </c>
      <c r="X36" s="498">
        <f>S20</f>
        <v>68.147000000000006</v>
      </c>
      <c r="Y36" s="292" t="s">
        <v>222</v>
      </c>
      <c r="Z36" s="752"/>
      <c r="AA36" s="766"/>
      <c r="AB36" s="767"/>
      <c r="AC36" s="768"/>
      <c r="AD36" s="767"/>
      <c r="AE36" s="768"/>
      <c r="AF36" s="768"/>
      <c r="AG36" s="770"/>
      <c r="AH36" s="441"/>
      <c r="AI36" s="441"/>
    </row>
    <row r="37" spans="1:39" ht="24" customHeight="1" x14ac:dyDescent="0.35">
      <c r="A37" s="309"/>
      <c r="B37" s="352"/>
      <c r="C37" s="320"/>
      <c r="D37" s="320"/>
      <c r="E37" s="320"/>
      <c r="F37" s="320"/>
      <c r="G37" s="320"/>
      <c r="H37" s="884" t="s">
        <v>83</v>
      </c>
      <c r="I37" s="885"/>
      <c r="J37" s="885"/>
      <c r="K37" s="886"/>
      <c r="L37" s="307"/>
      <c r="M37" s="308"/>
      <c r="N37" s="489" t="s">
        <v>199</v>
      </c>
      <c r="O37" s="440">
        <v>5</v>
      </c>
      <c r="P37" s="441" t="s">
        <v>208</v>
      </c>
      <c r="Q37" s="441"/>
      <c r="R37" s="441"/>
      <c r="S37" s="441"/>
      <c r="T37" s="441"/>
      <c r="U37" s="741" t="s">
        <v>213</v>
      </c>
      <c r="V37" s="442">
        <f>R21</f>
        <v>188867200</v>
      </c>
      <c r="W37" s="475">
        <v>129338000</v>
      </c>
      <c r="X37" s="505">
        <f>S21</f>
        <v>5.1020000000000003</v>
      </c>
      <c r="Y37" s="481" t="s">
        <v>265</v>
      </c>
      <c r="Z37" s="447"/>
      <c r="AA37" s="766"/>
      <c r="AB37" s="767"/>
      <c r="AC37" s="768"/>
      <c r="AD37" s="767"/>
      <c r="AE37" s="768"/>
      <c r="AF37" s="768"/>
      <c r="AG37" s="769"/>
      <c r="AH37" s="441"/>
      <c r="AI37" s="441"/>
    </row>
    <row r="38" spans="1:39" ht="24" customHeight="1" x14ac:dyDescent="0.35">
      <c r="A38" s="309"/>
      <c r="B38" s="352"/>
      <c r="C38" s="320"/>
      <c r="D38" s="320"/>
      <c r="E38" s="320"/>
      <c r="F38" s="320"/>
      <c r="G38" s="320"/>
      <c r="H38" s="731" t="s">
        <v>172</v>
      </c>
      <c r="I38" s="732"/>
      <c r="J38" s="732"/>
      <c r="K38" s="733"/>
      <c r="L38" s="307"/>
      <c r="M38" s="308"/>
      <c r="N38" s="481" t="s">
        <v>236</v>
      </c>
      <c r="O38" s="437">
        <v>6</v>
      </c>
      <c r="P38" s="438" t="s">
        <v>230</v>
      </c>
      <c r="Q38" s="438"/>
      <c r="R38" s="438"/>
      <c r="S38" s="438"/>
      <c r="T38" s="438"/>
      <c r="U38" s="755" t="s">
        <v>213</v>
      </c>
      <c r="V38" s="747">
        <v>65387855</v>
      </c>
      <c r="W38" s="474">
        <v>60891809.75</v>
      </c>
      <c r="X38" s="499">
        <v>100</v>
      </c>
      <c r="Y38" s="292" t="s">
        <v>224</v>
      </c>
      <c r="Z38" s="447"/>
      <c r="AA38" s="431"/>
    </row>
    <row r="39" spans="1:39" ht="24" customHeight="1" x14ac:dyDescent="0.35">
      <c r="A39" s="309"/>
      <c r="B39" s="352"/>
      <c r="C39" s="320"/>
      <c r="D39" s="320"/>
      <c r="E39" s="320"/>
      <c r="F39" s="320"/>
      <c r="G39" s="320"/>
      <c r="H39" s="781" t="s">
        <v>173</v>
      </c>
      <c r="I39" s="734"/>
      <c r="J39" s="782"/>
      <c r="K39" s="733"/>
      <c r="L39" s="307"/>
      <c r="M39" s="308"/>
      <c r="O39" s="440">
        <v>7</v>
      </c>
      <c r="P39" s="441" t="s">
        <v>231</v>
      </c>
      <c r="Q39" s="441"/>
      <c r="R39" s="441"/>
      <c r="S39" s="441"/>
      <c r="T39" s="441"/>
      <c r="U39" s="741" t="s">
        <v>213</v>
      </c>
      <c r="V39" s="748">
        <v>80594680</v>
      </c>
      <c r="W39" s="475">
        <v>76267984.840000004</v>
      </c>
      <c r="X39" s="320">
        <v>97.55</v>
      </c>
      <c r="Z39" s="447"/>
    </row>
    <row r="40" spans="1:39" ht="24" customHeight="1" x14ac:dyDescent="0.35">
      <c r="A40" s="309"/>
      <c r="B40" s="352"/>
      <c r="C40" s="320"/>
      <c r="D40" s="320"/>
      <c r="E40" s="320"/>
      <c r="F40" s="320"/>
      <c r="G40" s="320"/>
      <c r="H40" s="781"/>
      <c r="I40" s="734" t="s">
        <v>174</v>
      </c>
      <c r="J40" s="782">
        <f>X41</f>
        <v>81.917203355868423</v>
      </c>
      <c r="K40" s="733" t="s">
        <v>51</v>
      </c>
      <c r="L40" s="307"/>
      <c r="M40" s="308"/>
      <c r="O40" s="443">
        <v>8</v>
      </c>
      <c r="P40" s="444" t="s">
        <v>209</v>
      </c>
      <c r="Q40" s="444"/>
      <c r="R40" s="444"/>
      <c r="S40" s="444"/>
      <c r="T40" s="444"/>
      <c r="U40" s="754" t="s">
        <v>213</v>
      </c>
      <c r="V40" s="445">
        <f>R26</f>
        <v>187050000</v>
      </c>
      <c r="W40" s="476">
        <v>91430000</v>
      </c>
      <c r="X40" s="507">
        <f>S26</f>
        <v>14.55</v>
      </c>
      <c r="Y40" s="481" t="s">
        <v>265</v>
      </c>
      <c r="Z40" s="511"/>
      <c r="AA40" s="431"/>
    </row>
    <row r="41" spans="1:39" ht="24" customHeight="1" x14ac:dyDescent="0.5">
      <c r="A41" s="325"/>
      <c r="B41" s="359"/>
      <c r="C41" s="310"/>
      <c r="D41" s="310"/>
      <c r="E41" s="310"/>
      <c r="F41" s="310"/>
      <c r="G41" s="310"/>
      <c r="H41" s="784"/>
      <c r="I41" s="785"/>
      <c r="J41" s="786"/>
      <c r="K41" s="787"/>
      <c r="L41" s="326"/>
      <c r="M41" s="299"/>
      <c r="U41" s="292" t="s">
        <v>210</v>
      </c>
      <c r="V41" s="477">
        <f>SUM(V33:V40)</f>
        <v>696192735</v>
      </c>
      <c r="W41" s="478">
        <f>SUM(W33:W36)+SUM(W38:W39)</f>
        <v>246393372.12</v>
      </c>
      <c r="X41" s="479">
        <f>((W33*X33)+(W34*X34)+(W35*X35)+(W36*X36)+(W38*X38)+(W39*X39))/W41</f>
        <v>81.917203355868423</v>
      </c>
      <c r="Y41" s="292" t="s">
        <v>51</v>
      </c>
      <c r="Z41" s="463"/>
      <c r="AA41" s="488"/>
    </row>
    <row r="42" spans="1:39" ht="24" customHeight="1" x14ac:dyDescent="0.35">
      <c r="A42" s="302" t="s">
        <v>179</v>
      </c>
      <c r="B42" s="403">
        <v>4.17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914" t="s">
        <v>57</v>
      </c>
      <c r="I42" s="882"/>
      <c r="J42" s="882"/>
      <c r="K42" s="883"/>
      <c r="L42" s="304">
        <f>2+P43</f>
        <v>2.3209947789473682</v>
      </c>
      <c r="M42" s="305">
        <f>IF(L42=0,"-",ROUND(L42*B42/B$98,4))</f>
        <v>9.6799999999999997E-2</v>
      </c>
      <c r="N42" s="425" t="s">
        <v>213</v>
      </c>
      <c r="O42" s="292">
        <v>25</v>
      </c>
      <c r="P42" s="292">
        <v>1</v>
      </c>
      <c r="V42" s="292">
        <v>10</v>
      </c>
      <c r="W42" s="292">
        <v>1</v>
      </c>
    </row>
    <row r="43" spans="1:39" ht="24" customHeight="1" x14ac:dyDescent="0.5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731" t="s">
        <v>58</v>
      </c>
      <c r="I43" s="732"/>
      <c r="J43" s="732"/>
      <c r="K43" s="733"/>
      <c r="L43" s="307"/>
      <c r="M43" s="308"/>
      <c r="N43" s="448" t="s">
        <v>199</v>
      </c>
      <c r="O43" s="540">
        <f>J46-75</f>
        <v>8.0248694736842054</v>
      </c>
      <c r="P43" s="292">
        <f>P42*O43/O42</f>
        <v>0.32099477894736822</v>
      </c>
      <c r="V43" s="540">
        <f>J40-60</f>
        <v>21.917203355868423</v>
      </c>
      <c r="W43" s="540">
        <f>V43*W42/V42</f>
        <v>2.1917203355868424</v>
      </c>
      <c r="Y43" s="455" t="s">
        <v>232</v>
      </c>
      <c r="Z43" s="456" t="s">
        <v>233</v>
      </c>
      <c r="AA43" s="457" t="s">
        <v>234</v>
      </c>
      <c r="AB43" s="457" t="s">
        <v>215</v>
      </c>
      <c r="AC43" s="292" t="s">
        <v>317</v>
      </c>
    </row>
    <row r="44" spans="1:39" ht="24" customHeight="1" x14ac:dyDescent="0.5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731" t="s">
        <v>147</v>
      </c>
      <c r="I44" s="732"/>
      <c r="J44" s="732"/>
      <c r="K44" s="733"/>
      <c r="L44" s="307"/>
      <c r="M44" s="308"/>
      <c r="N44" s="481" t="s">
        <v>236</v>
      </c>
      <c r="W44" s="492"/>
      <c r="X44" s="506" t="s">
        <v>213</v>
      </c>
      <c r="Y44" s="458">
        <v>1</v>
      </c>
      <c r="Z44" s="459" t="s">
        <v>266</v>
      </c>
      <c r="AA44" s="460">
        <v>350000</v>
      </c>
      <c r="AB44" s="468">
        <v>176580</v>
      </c>
      <c r="AC44" s="712">
        <f>AB44*100/AA44</f>
        <v>50.451428571428572</v>
      </c>
      <c r="AD44" s="292" t="s">
        <v>51</v>
      </c>
    </row>
    <row r="45" spans="1:39" ht="24" customHeight="1" x14ac:dyDescent="0.5">
      <c r="A45" s="309"/>
      <c r="B45" s="352"/>
      <c r="C45" s="320"/>
      <c r="D45" s="320"/>
      <c r="E45" s="320"/>
      <c r="F45" s="320"/>
      <c r="G45" s="320"/>
      <c r="H45" s="731" t="s">
        <v>180</v>
      </c>
      <c r="I45" s="732"/>
      <c r="J45" s="732"/>
      <c r="K45" s="733"/>
      <c r="L45" s="307"/>
      <c r="M45" s="308"/>
      <c r="W45" s="492"/>
      <c r="X45" s="506" t="s">
        <v>213</v>
      </c>
      <c r="Y45" s="458">
        <v>2</v>
      </c>
      <c r="Z45" s="459" t="s">
        <v>267</v>
      </c>
      <c r="AA45" s="460">
        <v>350000</v>
      </c>
      <c r="AB45" s="468">
        <v>349895.12</v>
      </c>
      <c r="AC45" s="712">
        <f t="shared" ref="AC45:AC67" si="1">AB45*100/AA45</f>
        <v>99.970034285714291</v>
      </c>
      <c r="AD45" s="292" t="s">
        <v>51</v>
      </c>
    </row>
    <row r="46" spans="1:39" ht="24" customHeight="1" x14ac:dyDescent="0.5">
      <c r="A46" s="309"/>
      <c r="B46" s="352"/>
      <c r="C46" s="320"/>
      <c r="D46" s="320"/>
      <c r="E46" s="320"/>
      <c r="F46" s="320"/>
      <c r="G46" s="311"/>
      <c r="H46" s="731"/>
      <c r="I46" s="734" t="s">
        <v>56</v>
      </c>
      <c r="J46" s="735">
        <f>AC67</f>
        <v>83.024869473684205</v>
      </c>
      <c r="K46" s="733" t="s">
        <v>51</v>
      </c>
      <c r="L46" s="307"/>
      <c r="M46" s="308"/>
      <c r="U46" s="447"/>
      <c r="V46" s="447"/>
      <c r="W46" s="492"/>
      <c r="X46" s="492"/>
      <c r="Y46" s="458">
        <v>3</v>
      </c>
      <c r="Z46" s="459" t="s">
        <v>268</v>
      </c>
      <c r="AA46" s="460">
        <v>350000</v>
      </c>
      <c r="AB46" s="468">
        <v>348818.58</v>
      </c>
      <c r="AC46" s="712">
        <f t="shared" si="1"/>
        <v>99.66245142857143</v>
      </c>
      <c r="AD46" s="292" t="s">
        <v>51</v>
      </c>
    </row>
    <row r="47" spans="1:39" ht="24" customHeight="1" x14ac:dyDescent="0.5">
      <c r="A47" s="309"/>
      <c r="B47" s="352"/>
      <c r="C47" s="320"/>
      <c r="D47" s="320"/>
      <c r="E47" s="320"/>
      <c r="F47" s="320"/>
      <c r="G47" s="320"/>
      <c r="H47" s="736"/>
      <c r="I47" s="737"/>
      <c r="J47" s="737"/>
      <c r="K47" s="738"/>
      <c r="L47" s="307"/>
      <c r="M47" s="308"/>
      <c r="R47" s="492" t="s">
        <v>288</v>
      </c>
      <c r="W47" s="492"/>
      <c r="X47" s="492"/>
      <c r="Y47" s="458">
        <v>4</v>
      </c>
      <c r="Z47" s="513" t="s">
        <v>269</v>
      </c>
      <c r="AA47" s="460">
        <v>0</v>
      </c>
      <c r="AB47" s="468">
        <v>0</v>
      </c>
      <c r="AC47" s="712"/>
      <c r="AD47" s="292" t="s">
        <v>51</v>
      </c>
    </row>
    <row r="48" spans="1:39" ht="24" customHeight="1" x14ac:dyDescent="0.5">
      <c r="A48" s="302" t="s">
        <v>181</v>
      </c>
      <c r="B48" s="403">
        <v>4.17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371" t="s">
        <v>148</v>
      </c>
      <c r="I48" s="372"/>
      <c r="J48" s="372"/>
      <c r="K48" s="373"/>
      <c r="L48" s="304">
        <f>3+P51</f>
        <v>3.2479948046742777</v>
      </c>
      <c r="M48" s="305">
        <f>IF(L48=0,"-",ROUND(L48*B48/B$98,4))</f>
        <v>0.13539999999999999</v>
      </c>
      <c r="N48" s="425" t="s">
        <v>213</v>
      </c>
      <c r="O48" s="450" t="s">
        <v>214</v>
      </c>
      <c r="P48" s="451"/>
      <c r="Q48" s="452"/>
      <c r="R48" s="453">
        <v>414398657</v>
      </c>
      <c r="S48" s="481" t="s">
        <v>213</v>
      </c>
      <c r="W48" s="492"/>
      <c r="X48" s="506" t="s">
        <v>213</v>
      </c>
      <c r="Y48" s="482">
        <v>5</v>
      </c>
      <c r="Z48" s="461" t="s">
        <v>270</v>
      </c>
      <c r="AA48" s="462">
        <v>600000</v>
      </c>
      <c r="AB48" s="469">
        <v>321619.57999999996</v>
      </c>
      <c r="AC48" s="712">
        <f t="shared" si="1"/>
        <v>53.603263333333324</v>
      </c>
      <c r="AD48" s="292" t="s">
        <v>51</v>
      </c>
      <c r="AE48" s="710"/>
      <c r="AF48" s="710"/>
      <c r="AG48" s="710"/>
      <c r="AH48" s="710"/>
      <c r="AI48" s="711"/>
      <c r="AJ48" s="711"/>
      <c r="AK48" s="711"/>
      <c r="AL48" s="711"/>
      <c r="AM48" s="711"/>
    </row>
    <row r="49" spans="1:39" ht="24" customHeight="1" x14ac:dyDescent="0.5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  <c r="N49" s="448" t="s">
        <v>200</v>
      </c>
      <c r="O49" s="443" t="s">
        <v>215</v>
      </c>
      <c r="P49" s="444"/>
      <c r="Q49" s="446"/>
      <c r="R49" s="473">
        <v>407138371</v>
      </c>
      <c r="W49" s="492"/>
      <c r="X49" s="492"/>
      <c r="Y49" s="483"/>
      <c r="Z49" s="463" t="s">
        <v>271</v>
      </c>
      <c r="AA49" s="464">
        <v>600000</v>
      </c>
      <c r="AB49" s="470">
        <v>554458.30000000005</v>
      </c>
      <c r="AC49" s="712">
        <f t="shared" si="1"/>
        <v>92.409716666666682</v>
      </c>
      <c r="AD49" s="292" t="s">
        <v>51</v>
      </c>
      <c r="AE49" s="710"/>
      <c r="AF49" s="710"/>
      <c r="AG49" s="711"/>
      <c r="AH49" s="711"/>
      <c r="AI49" s="711"/>
      <c r="AJ49" s="711"/>
      <c r="AK49" s="711"/>
      <c r="AL49" s="711"/>
      <c r="AM49" s="711"/>
    </row>
    <row r="50" spans="1:39" ht="24" customHeight="1" x14ac:dyDescent="0.5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  <c r="O50" s="292">
        <v>1</v>
      </c>
      <c r="P50" s="292">
        <v>1</v>
      </c>
      <c r="R50" s="434">
        <f>R49*100/R48</f>
        <v>98.247994804674278</v>
      </c>
      <c r="S50" s="292" t="s">
        <v>51</v>
      </c>
      <c r="W50" s="492"/>
      <c r="X50" s="492"/>
      <c r="Y50" s="484"/>
      <c r="Z50" s="463" t="s">
        <v>272</v>
      </c>
      <c r="AA50" s="466">
        <v>600000</v>
      </c>
      <c r="AB50" s="471">
        <v>259920.98</v>
      </c>
      <c r="AC50" s="712">
        <f t="shared" si="1"/>
        <v>43.320163333333333</v>
      </c>
      <c r="AD50" s="292" t="s">
        <v>51</v>
      </c>
      <c r="AE50" s="710"/>
      <c r="AF50" s="710"/>
      <c r="AG50" s="711"/>
      <c r="AH50" s="711"/>
      <c r="AI50" s="711"/>
      <c r="AJ50" s="711"/>
      <c r="AK50" s="711"/>
      <c r="AL50" s="711"/>
      <c r="AM50" s="711"/>
    </row>
    <row r="51" spans="1:39" ht="43.5" customHeight="1" x14ac:dyDescent="0.5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  <c r="N51" s="481" t="s">
        <v>236</v>
      </c>
      <c r="O51" s="292">
        <f>R50-98</f>
        <v>0.2479948046742777</v>
      </c>
      <c r="P51" s="292">
        <f>O51*P50/O50</f>
        <v>0.2479948046742777</v>
      </c>
      <c r="W51" s="907" t="s">
        <v>468</v>
      </c>
      <c r="X51" s="908"/>
      <c r="Y51" s="482">
        <v>6</v>
      </c>
      <c r="Z51" s="508" t="s">
        <v>274</v>
      </c>
      <c r="AA51" s="462">
        <v>350000</v>
      </c>
      <c r="AB51" s="469">
        <v>336956</v>
      </c>
      <c r="AC51" s="712">
        <f t="shared" si="1"/>
        <v>96.273142857142858</v>
      </c>
      <c r="AD51" s="292" t="s">
        <v>51</v>
      </c>
      <c r="AE51" s="441"/>
      <c r="AF51" s="441"/>
      <c r="AG51" s="441"/>
      <c r="AH51" s="441"/>
      <c r="AI51" s="441"/>
      <c r="AJ51" s="441"/>
      <c r="AK51" s="441"/>
      <c r="AL51" s="441"/>
      <c r="AM51" s="441"/>
    </row>
    <row r="52" spans="1:39" ht="24" customHeight="1" x14ac:dyDescent="0.5">
      <c r="A52" s="309"/>
      <c r="B52" s="352"/>
      <c r="C52" s="320"/>
      <c r="D52" s="320"/>
      <c r="E52" s="320"/>
      <c r="F52" s="320"/>
      <c r="G52" s="311"/>
      <c r="H52" s="369"/>
      <c r="I52" s="323" t="s">
        <v>56</v>
      </c>
      <c r="J52" s="605">
        <f>R50</f>
        <v>98.247994804674278</v>
      </c>
      <c r="K52" s="370" t="s">
        <v>51</v>
      </c>
      <c r="L52" s="307"/>
      <c r="M52" s="308"/>
      <c r="W52" s="492"/>
      <c r="X52" s="492"/>
      <c r="Y52" s="485"/>
      <c r="Z52" s="463" t="s">
        <v>275</v>
      </c>
      <c r="AA52" s="464">
        <v>350000</v>
      </c>
      <c r="AB52" s="470">
        <v>337789</v>
      </c>
      <c r="AC52" s="712">
        <f t="shared" si="1"/>
        <v>96.511142857142858</v>
      </c>
      <c r="AD52" s="292" t="s">
        <v>51</v>
      </c>
    </row>
    <row r="53" spans="1:39" ht="24" customHeight="1" x14ac:dyDescent="0.5">
      <c r="A53" s="325"/>
      <c r="B53" s="359"/>
      <c r="C53" s="310"/>
      <c r="D53" s="310"/>
      <c r="E53" s="310"/>
      <c r="F53" s="310"/>
      <c r="G53" s="310"/>
      <c r="H53" s="329"/>
      <c r="I53" s="376"/>
      <c r="J53" s="376"/>
      <c r="K53" s="377"/>
      <c r="L53" s="326"/>
      <c r="M53" s="299"/>
      <c r="P53" s="433" t="s">
        <v>217</v>
      </c>
      <c r="Q53" s="433" t="s">
        <v>218</v>
      </c>
      <c r="T53" s="433" t="s">
        <v>217</v>
      </c>
      <c r="U53" s="433" t="s">
        <v>218</v>
      </c>
      <c r="W53" s="492"/>
      <c r="X53" s="492"/>
      <c r="Y53" s="484"/>
      <c r="Z53" s="465" t="s">
        <v>276</v>
      </c>
      <c r="AA53" s="466">
        <v>600000</v>
      </c>
      <c r="AB53" s="471">
        <v>120782</v>
      </c>
      <c r="AC53" s="712">
        <f t="shared" si="1"/>
        <v>20.130333333333333</v>
      </c>
      <c r="AD53" s="292" t="s">
        <v>51</v>
      </c>
      <c r="AE53" s="481"/>
    </row>
    <row r="54" spans="1:39" ht="24" customHeight="1" x14ac:dyDescent="0.5">
      <c r="A54" s="302" t="s">
        <v>183</v>
      </c>
      <c r="B54" s="403">
        <v>4.17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f>2+U58</f>
        <v>3.4905660377358485</v>
      </c>
      <c r="M54" s="305">
        <f>IF(L54=0,"-",ROUND(L54*B54/B$98,4))</f>
        <v>0.14560000000000001</v>
      </c>
      <c r="N54" s="425" t="s">
        <v>213</v>
      </c>
      <c r="O54" s="292" t="s">
        <v>216</v>
      </c>
      <c r="P54" s="433">
        <v>10</v>
      </c>
      <c r="Q54" s="472">
        <v>10</v>
      </c>
      <c r="R54" s="292" t="s">
        <v>296</v>
      </c>
      <c r="S54" s="298" t="s">
        <v>294</v>
      </c>
      <c r="T54" s="433">
        <v>1</v>
      </c>
      <c r="U54" s="472">
        <v>1</v>
      </c>
      <c r="V54" s="292" t="s">
        <v>293</v>
      </c>
      <c r="W54" s="492"/>
      <c r="X54" s="492"/>
      <c r="Y54" s="458">
        <v>7</v>
      </c>
      <c r="Z54" s="513" t="s">
        <v>269</v>
      </c>
      <c r="AA54" s="460">
        <v>0</v>
      </c>
      <c r="AB54" s="468">
        <v>0</v>
      </c>
      <c r="AC54" s="712"/>
    </row>
    <row r="55" spans="1:39" ht="24" customHeight="1" x14ac:dyDescent="0.5">
      <c r="A55" s="309" t="s">
        <v>28</v>
      </c>
      <c r="B55" s="352"/>
      <c r="C55" s="320"/>
      <c r="D55" s="320"/>
      <c r="E55" s="320"/>
      <c r="F55" s="320"/>
      <c r="G55" s="320"/>
      <c r="H55" s="369" t="s">
        <v>154</v>
      </c>
      <c r="I55" s="374"/>
      <c r="J55" s="374"/>
      <c r="K55" s="370"/>
      <c r="L55" s="307"/>
      <c r="M55" s="308"/>
      <c r="N55" s="448" t="s">
        <v>201</v>
      </c>
      <c r="P55" s="433">
        <v>2</v>
      </c>
      <c r="Q55" s="472">
        <v>2</v>
      </c>
      <c r="R55" s="292" t="s">
        <v>293</v>
      </c>
      <c r="S55" s="298" t="s">
        <v>225</v>
      </c>
      <c r="T55" s="433">
        <v>9</v>
      </c>
      <c r="U55" s="472">
        <v>5</v>
      </c>
      <c r="V55" s="292" t="s">
        <v>296</v>
      </c>
      <c r="W55" s="492"/>
      <c r="X55" s="506" t="s">
        <v>213</v>
      </c>
      <c r="Y55" s="458">
        <v>8</v>
      </c>
      <c r="Z55" s="459" t="s">
        <v>273</v>
      </c>
      <c r="AA55" s="460">
        <v>600000</v>
      </c>
      <c r="AB55" s="468">
        <v>596848.18000000005</v>
      </c>
      <c r="AC55" s="712">
        <f t="shared" si="1"/>
        <v>99.474696666666674</v>
      </c>
      <c r="AD55" s="292" t="s">
        <v>51</v>
      </c>
    </row>
    <row r="56" spans="1:39" ht="24" customHeight="1" x14ac:dyDescent="0.5">
      <c r="A56" s="309" t="s">
        <v>60</v>
      </c>
      <c r="B56" s="352"/>
      <c r="C56" s="320"/>
      <c r="D56" s="320"/>
      <c r="E56" s="320"/>
      <c r="F56" s="320"/>
      <c r="G56" s="320"/>
      <c r="H56" s="369" t="s">
        <v>64</v>
      </c>
      <c r="I56" s="374"/>
      <c r="J56" s="374"/>
      <c r="K56" s="370"/>
      <c r="L56" s="307"/>
      <c r="M56" s="308"/>
      <c r="N56" s="481" t="s">
        <v>236</v>
      </c>
      <c r="P56" s="433">
        <v>2</v>
      </c>
      <c r="Q56" s="472">
        <v>2</v>
      </c>
      <c r="R56" s="292" t="s">
        <v>299</v>
      </c>
      <c r="S56" s="298" t="s">
        <v>20</v>
      </c>
      <c r="T56" s="434">
        <f>T55+P66+P65+P64+P60+P59+P57+P54+P62+P63+T54+P58+P55+P56+P61</f>
        <v>53</v>
      </c>
      <c r="U56" s="435">
        <f>U55+Q66+Q65+Q64+Q60+Q59+Q57+Q54+Q62+Q63+U54+Q58+Q55+Q56+Q61</f>
        <v>49</v>
      </c>
      <c r="V56" s="292" t="s">
        <v>51</v>
      </c>
      <c r="W56" s="907" t="s">
        <v>468</v>
      </c>
      <c r="X56" s="908"/>
      <c r="Y56" s="458">
        <v>9</v>
      </c>
      <c r="Z56" s="459" t="s">
        <v>277</v>
      </c>
      <c r="AA56" s="460">
        <v>350000</v>
      </c>
      <c r="AB56" s="468">
        <v>345470</v>
      </c>
      <c r="AC56" s="712">
        <f t="shared" si="1"/>
        <v>98.705714285714279</v>
      </c>
      <c r="AD56" s="292" t="s">
        <v>51</v>
      </c>
    </row>
    <row r="57" spans="1:39" ht="24" customHeight="1" x14ac:dyDescent="0.5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544" t="s">
        <v>319</v>
      </c>
      <c r="K57" s="382"/>
      <c r="L57" s="307"/>
      <c r="M57" s="308"/>
      <c r="O57" s="292" t="s">
        <v>219</v>
      </c>
      <c r="P57" s="433">
        <v>8</v>
      </c>
      <c r="Q57" s="472">
        <v>8</v>
      </c>
      <c r="R57" s="292" t="s">
        <v>296</v>
      </c>
      <c r="T57" s="292">
        <v>5</v>
      </c>
      <c r="U57" s="306">
        <v>1</v>
      </c>
      <c r="W57" s="492"/>
      <c r="X57" s="506" t="s">
        <v>213</v>
      </c>
      <c r="Y57" s="482">
        <v>10</v>
      </c>
      <c r="Z57" s="461" t="s">
        <v>278</v>
      </c>
      <c r="AA57" s="462">
        <v>300000</v>
      </c>
      <c r="AB57" s="469">
        <v>276477.90000000002</v>
      </c>
      <c r="AC57" s="712">
        <f t="shared" si="1"/>
        <v>92.159300000000016</v>
      </c>
      <c r="AD57" s="292" t="s">
        <v>51</v>
      </c>
    </row>
    <row r="58" spans="1:39" ht="24" customHeight="1" x14ac:dyDescent="0.5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f>T56</f>
        <v>53</v>
      </c>
      <c r="K58" s="382" t="s">
        <v>61</v>
      </c>
      <c r="L58" s="307"/>
      <c r="M58" s="308"/>
      <c r="O58" s="292" t="s">
        <v>295</v>
      </c>
      <c r="P58" s="433">
        <v>3</v>
      </c>
      <c r="Q58" s="472">
        <v>3</v>
      </c>
      <c r="R58" s="292" t="s">
        <v>293</v>
      </c>
      <c r="S58" s="306"/>
      <c r="T58" s="763">
        <f>J60-85</f>
        <v>7.4528301886792434</v>
      </c>
      <c r="U58" s="540">
        <f>U57*T58/T57</f>
        <v>1.4905660377358487</v>
      </c>
      <c r="W58" s="492"/>
      <c r="X58" s="492"/>
      <c r="Y58" s="483"/>
      <c r="Z58" s="463" t="s">
        <v>279</v>
      </c>
      <c r="AA58" s="464">
        <v>300000</v>
      </c>
      <c r="AB58" s="470">
        <v>285121.71000000002</v>
      </c>
      <c r="AC58" s="712">
        <f t="shared" si="1"/>
        <v>95.040570000000017</v>
      </c>
      <c r="AD58" s="292" t="s">
        <v>51</v>
      </c>
    </row>
    <row r="59" spans="1:39" ht="24" customHeight="1" x14ac:dyDescent="0.5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f>U56</f>
        <v>49</v>
      </c>
      <c r="K59" s="382" t="s">
        <v>61</v>
      </c>
      <c r="L59" s="307"/>
      <c r="M59" s="308"/>
      <c r="O59" s="292" t="s">
        <v>220</v>
      </c>
      <c r="P59" s="433">
        <v>3</v>
      </c>
      <c r="Q59" s="472">
        <v>3</v>
      </c>
      <c r="R59" s="292" t="s">
        <v>296</v>
      </c>
      <c r="S59" s="306"/>
      <c r="T59" s="306"/>
      <c r="U59" s="292" t="s">
        <v>300</v>
      </c>
      <c r="W59" s="492"/>
      <c r="X59" s="492"/>
      <c r="Y59" s="484"/>
      <c r="Z59" s="465" t="s">
        <v>280</v>
      </c>
      <c r="AA59" s="466">
        <v>350000</v>
      </c>
      <c r="AB59" s="471">
        <v>338685.51</v>
      </c>
      <c r="AC59" s="712">
        <f t="shared" si="1"/>
        <v>96.767288571428566</v>
      </c>
      <c r="AD59" s="292" t="s">
        <v>51</v>
      </c>
    </row>
    <row r="60" spans="1:39" ht="24" customHeight="1" x14ac:dyDescent="0.5">
      <c r="A60" s="309"/>
      <c r="B60" s="352"/>
      <c r="C60" s="320"/>
      <c r="D60" s="320"/>
      <c r="E60" s="320"/>
      <c r="F60" s="320"/>
      <c r="G60" s="320"/>
      <c r="H60" s="369"/>
      <c r="I60" s="323" t="s">
        <v>81</v>
      </c>
      <c r="J60" s="516">
        <f>J59*100/J58</f>
        <v>92.452830188679243</v>
      </c>
      <c r="K60" s="370" t="s">
        <v>51</v>
      </c>
      <c r="L60" s="307"/>
      <c r="M60" s="308"/>
      <c r="N60" s="741" t="s">
        <v>213</v>
      </c>
      <c r="O60" s="292" t="s">
        <v>221</v>
      </c>
      <c r="P60" s="433">
        <v>6</v>
      </c>
      <c r="Q60" s="472">
        <v>6</v>
      </c>
      <c r="R60" s="292" t="s">
        <v>296</v>
      </c>
      <c r="T60" s="306"/>
      <c r="W60" s="492"/>
      <c r="X60" s="506" t="s">
        <v>213</v>
      </c>
      <c r="Y60" s="458">
        <v>11</v>
      </c>
      <c r="Z60" s="459" t="s">
        <v>281</v>
      </c>
      <c r="AA60" s="460">
        <v>600000</v>
      </c>
      <c r="AB60" s="468">
        <v>566281.76</v>
      </c>
      <c r="AC60" s="712">
        <f t="shared" si="1"/>
        <v>94.380293333333327</v>
      </c>
      <c r="AD60" s="292" t="s">
        <v>51</v>
      </c>
    </row>
    <row r="61" spans="1:39" ht="24" customHeight="1" x14ac:dyDescent="0.5">
      <c r="A61" s="325"/>
      <c r="B61" s="359"/>
      <c r="C61" s="310"/>
      <c r="D61" s="310"/>
      <c r="E61" s="310"/>
      <c r="F61" s="310"/>
      <c r="G61" s="310"/>
      <c r="H61" s="375"/>
      <c r="I61" s="376"/>
      <c r="J61" s="376"/>
      <c r="K61" s="377"/>
      <c r="L61" s="326"/>
      <c r="M61" s="299"/>
      <c r="P61" s="433">
        <v>2</v>
      </c>
      <c r="Q61" s="472">
        <v>2</v>
      </c>
      <c r="R61" s="292" t="s">
        <v>299</v>
      </c>
      <c r="W61" s="907" t="s">
        <v>468</v>
      </c>
      <c r="X61" s="908"/>
      <c r="Y61" s="458">
        <v>12</v>
      </c>
      <c r="Z61" s="459" t="s">
        <v>282</v>
      </c>
      <c r="AA61" s="460">
        <v>600000</v>
      </c>
      <c r="AB61" s="468">
        <v>587047.48</v>
      </c>
      <c r="AC61" s="712">
        <f t="shared" si="1"/>
        <v>97.841246666666663</v>
      </c>
      <c r="AD61" s="292" t="s">
        <v>51</v>
      </c>
    </row>
    <row r="62" spans="1:39" ht="24" customHeight="1" x14ac:dyDescent="0.5">
      <c r="A62" s="302" t="s">
        <v>184</v>
      </c>
      <c r="B62" s="403">
        <v>4.17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371" t="s">
        <v>152</v>
      </c>
      <c r="I62" s="372"/>
      <c r="J62" s="372"/>
      <c r="K62" s="373"/>
      <c r="L62" s="304">
        <v>5</v>
      </c>
      <c r="M62" s="305">
        <f>IF(L62=0,"-",ROUND(L62*B62/B$98,4))</f>
        <v>0.20849999999999999</v>
      </c>
      <c r="N62" s="425" t="s">
        <v>213</v>
      </c>
      <c r="O62" s="292" t="s">
        <v>291</v>
      </c>
      <c r="P62" s="433">
        <v>1</v>
      </c>
      <c r="Q62" s="472">
        <v>1</v>
      </c>
      <c r="R62" s="292" t="s">
        <v>293</v>
      </c>
      <c r="W62" s="492"/>
      <c r="X62" s="506" t="s">
        <v>213</v>
      </c>
      <c r="Y62" s="482">
        <v>13</v>
      </c>
      <c r="Z62" s="463" t="s">
        <v>283</v>
      </c>
      <c r="AA62" s="462">
        <v>350000</v>
      </c>
      <c r="AB62" s="469">
        <v>333566.59999999998</v>
      </c>
      <c r="AC62" s="712">
        <f t="shared" si="1"/>
        <v>95.304742857142841</v>
      </c>
      <c r="AD62" s="292" t="s">
        <v>51</v>
      </c>
      <c r="AE62" s="708"/>
    </row>
    <row r="63" spans="1:39" ht="24" customHeight="1" x14ac:dyDescent="0.5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374" t="s">
        <v>153</v>
      </c>
      <c r="I63" s="374"/>
      <c r="J63" s="374"/>
      <c r="K63" s="370"/>
      <c r="L63" s="307"/>
      <c r="M63" s="308"/>
      <c r="N63" s="425" t="s">
        <v>236</v>
      </c>
      <c r="O63" s="292" t="s">
        <v>292</v>
      </c>
      <c r="P63" s="433">
        <v>2</v>
      </c>
      <c r="Q63" s="472">
        <v>2</v>
      </c>
      <c r="R63" s="292" t="s">
        <v>293</v>
      </c>
      <c r="W63" s="492"/>
      <c r="X63" s="492"/>
      <c r="Y63" s="485"/>
      <c r="Z63" s="463" t="s">
        <v>284</v>
      </c>
      <c r="AA63" s="464">
        <v>350000</v>
      </c>
      <c r="AB63" s="470">
        <v>290399.90000000002</v>
      </c>
      <c r="AC63" s="712">
        <f t="shared" si="1"/>
        <v>82.971400000000017</v>
      </c>
      <c r="AD63" s="292" t="s">
        <v>51</v>
      </c>
      <c r="AE63" s="708"/>
    </row>
    <row r="64" spans="1:39" ht="24" customHeight="1" x14ac:dyDescent="0.5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374" t="s">
        <v>180</v>
      </c>
      <c r="I64" s="374"/>
      <c r="J64" s="374"/>
      <c r="K64" s="370"/>
      <c r="L64" s="307"/>
      <c r="M64" s="308"/>
      <c r="N64" s="425"/>
      <c r="O64" s="292" t="s">
        <v>222</v>
      </c>
      <c r="P64" s="546">
        <v>0</v>
      </c>
      <c r="Q64" s="546">
        <v>0</v>
      </c>
      <c r="R64" s="292" t="s">
        <v>298</v>
      </c>
      <c r="W64" s="492"/>
      <c r="X64" s="492"/>
      <c r="Y64" s="509"/>
      <c r="Z64" s="485" t="s">
        <v>285</v>
      </c>
      <c r="AA64" s="510">
        <v>350000</v>
      </c>
      <c r="AB64" s="470">
        <v>287988.55</v>
      </c>
      <c r="AC64" s="712">
        <f t="shared" si="1"/>
        <v>82.282442857142854</v>
      </c>
      <c r="AD64" s="292" t="s">
        <v>51</v>
      </c>
      <c r="AE64" s="708"/>
    </row>
    <row r="65" spans="1:31" ht="24" customHeight="1" x14ac:dyDescent="0.5">
      <c r="A65" s="309"/>
      <c r="B65" s="406"/>
      <c r="C65" s="336"/>
      <c r="D65" s="336"/>
      <c r="E65" s="336"/>
      <c r="F65" s="336"/>
      <c r="G65" s="390"/>
      <c r="H65" s="369"/>
      <c r="I65" s="323" t="s">
        <v>56</v>
      </c>
      <c r="J65" s="324">
        <v>100</v>
      </c>
      <c r="K65" s="370" t="s">
        <v>51</v>
      </c>
      <c r="L65" s="307"/>
      <c r="M65" s="308"/>
      <c r="N65" s="425"/>
      <c r="O65" s="292" t="s">
        <v>223</v>
      </c>
      <c r="P65" s="546">
        <v>0</v>
      </c>
      <c r="Q65" s="546">
        <v>0</v>
      </c>
      <c r="R65" s="292" t="s">
        <v>297</v>
      </c>
      <c r="W65" s="492"/>
      <c r="X65" s="492"/>
      <c r="Y65" s="485"/>
      <c r="Z65" s="463" t="s">
        <v>286</v>
      </c>
      <c r="AA65" s="464">
        <v>600000</v>
      </c>
      <c r="AB65" s="470">
        <v>591568.19999999995</v>
      </c>
      <c r="AC65" s="712">
        <f t="shared" si="1"/>
        <v>98.594699999999989</v>
      </c>
      <c r="AD65" s="292" t="s">
        <v>51</v>
      </c>
      <c r="AE65" s="708"/>
    </row>
    <row r="66" spans="1:31" ht="24" customHeight="1" x14ac:dyDescent="0.5">
      <c r="A66" s="325"/>
      <c r="B66" s="359"/>
      <c r="C66" s="310"/>
      <c r="D66" s="310"/>
      <c r="E66" s="310"/>
      <c r="F66" s="310"/>
      <c r="G66" s="310"/>
      <c r="H66" s="375"/>
      <c r="I66" s="378"/>
      <c r="J66" s="378"/>
      <c r="K66" s="379"/>
      <c r="L66" s="326"/>
      <c r="M66" s="299"/>
      <c r="N66" s="425"/>
      <c r="O66" s="292" t="s">
        <v>224</v>
      </c>
      <c r="P66" s="433">
        <v>4</v>
      </c>
      <c r="Q66" s="472">
        <v>4</v>
      </c>
      <c r="R66" s="292" t="s">
        <v>296</v>
      </c>
      <c r="W66" s="492"/>
      <c r="X66" s="492"/>
      <c r="Y66" s="486"/>
      <c r="Z66" s="486" t="s">
        <v>287</v>
      </c>
      <c r="AA66" s="466">
        <v>600000</v>
      </c>
      <c r="AB66" s="471">
        <v>581087.25</v>
      </c>
      <c r="AC66" s="712">
        <f t="shared" si="1"/>
        <v>96.847875000000002</v>
      </c>
      <c r="AD66" s="292" t="s">
        <v>51</v>
      </c>
      <c r="AE66" s="708"/>
    </row>
    <row r="67" spans="1:31" ht="24" customHeight="1" x14ac:dyDescent="0.5">
      <c r="A67" s="302" t="s">
        <v>185</v>
      </c>
      <c r="B67" s="403">
        <v>12.5</v>
      </c>
      <c r="C67" s="332">
        <v>0.78</v>
      </c>
      <c r="D67" s="332">
        <v>0.81</v>
      </c>
      <c r="E67" s="332">
        <v>0.84</v>
      </c>
      <c r="F67" s="332">
        <v>0.87</v>
      </c>
      <c r="G67" s="332">
        <v>0.9</v>
      </c>
      <c r="H67" s="417" t="s">
        <v>186</v>
      </c>
      <c r="I67" s="418"/>
      <c r="J67" s="418"/>
      <c r="K67" s="419"/>
      <c r="L67" s="304">
        <f>2+O71</f>
        <v>2.0284768346452373</v>
      </c>
      <c r="M67" s="305">
        <f>IF(L67=0,"-",ROUND(L67*B67/B$98,4))</f>
        <v>0.25359999999999999</v>
      </c>
      <c r="N67" s="425" t="s">
        <v>213</v>
      </c>
      <c r="O67" s="425" t="s">
        <v>493</v>
      </c>
      <c r="Y67" s="456"/>
      <c r="Z67" s="467" t="s">
        <v>235</v>
      </c>
      <c r="AA67" s="457">
        <f>SUM(AA44:AA66)</f>
        <v>9500000</v>
      </c>
      <c r="AB67" s="457">
        <f>SUM(AB44:AB66)</f>
        <v>7887362.5999999996</v>
      </c>
      <c r="AC67" s="512">
        <f t="shared" si="1"/>
        <v>83.024869473684205</v>
      </c>
      <c r="AD67" s="292" t="s">
        <v>51</v>
      </c>
      <c r="AE67" s="709"/>
    </row>
    <row r="68" spans="1:31" ht="24" customHeight="1" x14ac:dyDescent="0.5">
      <c r="A68" s="309" t="s">
        <v>85</v>
      </c>
      <c r="B68" s="352"/>
      <c r="C68" s="320"/>
      <c r="D68" s="320"/>
      <c r="E68" s="320"/>
      <c r="F68" s="320"/>
      <c r="G68" s="320"/>
      <c r="H68" s="420" t="s">
        <v>196</v>
      </c>
      <c r="I68" s="422"/>
      <c r="J68" s="422"/>
      <c r="K68" s="421"/>
      <c r="L68" s="307"/>
      <c r="M68" s="308"/>
      <c r="N68" s="425" t="s">
        <v>236</v>
      </c>
      <c r="O68" s="292" t="s">
        <v>289</v>
      </c>
      <c r="Y68" s="456"/>
      <c r="Z68" s="463"/>
      <c r="AA68" s="457"/>
      <c r="AB68" s="457"/>
      <c r="AE68" s="709"/>
    </row>
    <row r="69" spans="1:31" ht="24" customHeight="1" x14ac:dyDescent="0.5">
      <c r="A69" s="309"/>
      <c r="B69" s="352"/>
      <c r="C69" s="320"/>
      <c r="D69" s="320"/>
      <c r="E69" s="320"/>
      <c r="F69" s="320"/>
      <c r="G69" s="320"/>
      <c r="H69" s="327"/>
      <c r="I69" s="327" t="s">
        <v>87</v>
      </c>
      <c r="J69" s="429">
        <v>5534949956</v>
      </c>
      <c r="K69" s="421" t="s">
        <v>187</v>
      </c>
      <c r="L69" s="307"/>
      <c r="M69" s="308"/>
      <c r="N69" s="425"/>
      <c r="O69" s="405" t="s">
        <v>290</v>
      </c>
      <c r="Z69" s="463"/>
      <c r="AE69" s="709"/>
    </row>
    <row r="70" spans="1:31" ht="24" customHeight="1" x14ac:dyDescent="0.5">
      <c r="A70" s="309"/>
      <c r="B70" s="352"/>
      <c r="C70" s="320"/>
      <c r="D70" s="320"/>
      <c r="E70" s="320"/>
      <c r="F70" s="320"/>
      <c r="G70" s="320"/>
      <c r="H70" s="327"/>
      <c r="I70" s="323" t="s">
        <v>188</v>
      </c>
      <c r="J70" s="430">
        <v>4488038000</v>
      </c>
      <c r="K70" s="421" t="s">
        <v>187</v>
      </c>
      <c r="L70" s="307"/>
      <c r="M70" s="308"/>
      <c r="N70" s="425">
        <v>3</v>
      </c>
      <c r="O70" s="292">
        <v>1</v>
      </c>
      <c r="Z70" s="463"/>
      <c r="AE70" s="709"/>
    </row>
    <row r="71" spans="1:31" ht="24" customHeight="1" x14ac:dyDescent="0.35">
      <c r="A71" s="309"/>
      <c r="B71" s="352"/>
      <c r="C71" s="320"/>
      <c r="D71" s="320"/>
      <c r="E71" s="320"/>
      <c r="F71" s="320"/>
      <c r="G71" s="320"/>
      <c r="H71" s="327"/>
      <c r="I71" s="323" t="s">
        <v>189</v>
      </c>
      <c r="J71" s="426">
        <f>J70*100/J69</f>
        <v>81.085430503935711</v>
      </c>
      <c r="K71" s="421" t="s">
        <v>51</v>
      </c>
      <c r="L71" s="307"/>
      <c r="M71" s="308"/>
      <c r="N71" s="656">
        <f>J71-81</f>
        <v>8.5430503935711499E-2</v>
      </c>
      <c r="O71" s="292">
        <f>O70*N71/N70</f>
        <v>2.8476834645237165E-2</v>
      </c>
      <c r="AE71" s="709"/>
    </row>
    <row r="72" spans="1:31" ht="24" customHeight="1" x14ac:dyDescent="0.35">
      <c r="A72" s="325"/>
      <c r="B72" s="359"/>
      <c r="C72" s="310"/>
      <c r="D72" s="310"/>
      <c r="E72" s="310"/>
      <c r="F72" s="310"/>
      <c r="G72" s="310"/>
      <c r="H72" s="337"/>
      <c r="I72" s="423"/>
      <c r="J72" s="338"/>
      <c r="K72" s="424"/>
      <c r="L72" s="326"/>
      <c r="M72" s="299"/>
      <c r="N72" s="425"/>
    </row>
    <row r="73" spans="1:31" ht="24" customHeight="1" x14ac:dyDescent="0.35">
      <c r="A73" s="339" t="s">
        <v>190</v>
      </c>
      <c r="B73" s="407">
        <v>4.17</v>
      </c>
      <c r="C73" s="340">
        <v>0.65</v>
      </c>
      <c r="D73" s="340">
        <v>0.7</v>
      </c>
      <c r="E73" s="340">
        <v>0.75</v>
      </c>
      <c r="F73" s="340">
        <v>0.8</v>
      </c>
      <c r="G73" s="340">
        <v>0.85</v>
      </c>
      <c r="H73" s="371" t="s">
        <v>156</v>
      </c>
      <c r="I73" s="372"/>
      <c r="J73" s="372"/>
      <c r="K73" s="373"/>
      <c r="L73" s="304">
        <v>1</v>
      </c>
      <c r="M73" s="305">
        <f>IF(L73=0,"-",ROUND(L73*B73/B$98,4))</f>
        <v>4.1700000000000001E-2</v>
      </c>
      <c r="N73" s="425" t="s">
        <v>213</v>
      </c>
    </row>
    <row r="74" spans="1:31" ht="24" customHeight="1" x14ac:dyDescent="0.35">
      <c r="A74" s="309" t="s">
        <v>145</v>
      </c>
      <c r="B74" s="352"/>
      <c r="C74" s="320"/>
      <c r="D74" s="320"/>
      <c r="E74" s="320"/>
      <c r="F74" s="320"/>
      <c r="G74" s="320"/>
      <c r="H74" s="369" t="s">
        <v>104</v>
      </c>
      <c r="I74" s="374"/>
      <c r="J74" s="374"/>
      <c r="K74" s="370"/>
      <c r="L74" s="307"/>
      <c r="M74" s="308"/>
      <c r="N74" s="425" t="s">
        <v>236</v>
      </c>
    </row>
    <row r="75" spans="1:31" ht="24" customHeight="1" x14ac:dyDescent="0.35">
      <c r="A75" s="389" t="s">
        <v>155</v>
      </c>
      <c r="B75" s="352"/>
      <c r="C75" s="320"/>
      <c r="D75" s="320"/>
      <c r="E75" s="320"/>
      <c r="F75" s="320"/>
      <c r="G75" s="320"/>
      <c r="H75" s="369" t="s">
        <v>105</v>
      </c>
      <c r="I75" s="374"/>
      <c r="J75" s="374"/>
      <c r="K75" s="370"/>
      <c r="L75" s="307"/>
      <c r="M75" s="308"/>
      <c r="N75" s="425"/>
    </row>
    <row r="76" spans="1:31" ht="24" customHeight="1" x14ac:dyDescent="0.35">
      <c r="A76" s="309"/>
      <c r="B76" s="352"/>
      <c r="C76" s="320"/>
      <c r="D76" s="320"/>
      <c r="E76" s="320"/>
      <c r="F76" s="320"/>
      <c r="G76" s="320"/>
      <c r="H76" s="341"/>
      <c r="I76" s="342" t="s">
        <v>113</v>
      </c>
      <c r="J76" s="343" t="s">
        <v>11</v>
      </c>
      <c r="K76" s="370" t="s">
        <v>51</v>
      </c>
      <c r="L76" s="307"/>
      <c r="M76" s="308"/>
      <c r="N76" s="425"/>
    </row>
    <row r="77" spans="1:31" ht="24" customHeight="1" x14ac:dyDescent="0.35">
      <c r="A77" s="325"/>
      <c r="B77" s="359"/>
      <c r="C77" s="310"/>
      <c r="D77" s="310"/>
      <c r="E77" s="310"/>
      <c r="F77" s="310"/>
      <c r="G77" s="415"/>
      <c r="H77" s="891" t="s">
        <v>211</v>
      </c>
      <c r="I77" s="892"/>
      <c r="J77" s="892"/>
      <c r="K77" s="893"/>
      <c r="L77" s="326"/>
      <c r="M77" s="299"/>
      <c r="N77" s="425"/>
    </row>
    <row r="78" spans="1:31" ht="24" customHeight="1" x14ac:dyDescent="0.35">
      <c r="A78" s="302" t="s">
        <v>106</v>
      </c>
      <c r="B78" s="407">
        <v>4.17</v>
      </c>
      <c r="C78" s="346" t="s">
        <v>29</v>
      </c>
      <c r="D78" s="346" t="s">
        <v>30</v>
      </c>
      <c r="E78" s="346" t="s">
        <v>31</v>
      </c>
      <c r="F78" s="346" t="s">
        <v>32</v>
      </c>
      <c r="G78" s="346" t="s">
        <v>33</v>
      </c>
      <c r="H78" s="371" t="s">
        <v>108</v>
      </c>
      <c r="I78" s="372"/>
      <c r="J78" s="372"/>
      <c r="K78" s="373"/>
      <c r="L78" s="304">
        <v>1</v>
      </c>
      <c r="M78" s="305">
        <f>IF(L78=0,"-",ROUND(L78*B78/B$98,4))</f>
        <v>4.1700000000000001E-2</v>
      </c>
      <c r="N78" s="425" t="s">
        <v>213</v>
      </c>
    </row>
    <row r="79" spans="1:31" ht="24" customHeight="1" x14ac:dyDescent="0.35">
      <c r="A79" s="309" t="s">
        <v>107</v>
      </c>
      <c r="B79" s="352"/>
      <c r="C79" s="348">
        <v>1.5</v>
      </c>
      <c r="D79" s="348">
        <v>2</v>
      </c>
      <c r="E79" s="348">
        <v>2.5</v>
      </c>
      <c r="F79" s="348">
        <v>3</v>
      </c>
      <c r="G79" s="348">
        <v>5</v>
      </c>
      <c r="H79" s="369" t="s">
        <v>146</v>
      </c>
      <c r="I79" s="374"/>
      <c r="J79" s="374"/>
      <c r="K79" s="370"/>
      <c r="L79" s="307"/>
      <c r="M79" s="308"/>
      <c r="N79" s="425" t="s">
        <v>236</v>
      </c>
      <c r="P79" s="347"/>
    </row>
    <row r="80" spans="1:31" ht="24" customHeight="1" x14ac:dyDescent="0.35">
      <c r="A80" s="309"/>
      <c r="B80" s="352"/>
      <c r="C80" s="344"/>
      <c r="D80" s="344"/>
      <c r="E80" s="344"/>
      <c r="F80" s="344"/>
      <c r="G80" s="344"/>
      <c r="H80" s="369" t="s">
        <v>110</v>
      </c>
      <c r="I80" s="374"/>
      <c r="J80" s="374"/>
      <c r="K80" s="370"/>
      <c r="L80" s="307"/>
      <c r="M80" s="308"/>
      <c r="N80" s="425"/>
    </row>
    <row r="81" spans="1:32" ht="24" customHeight="1" x14ac:dyDescent="0.35">
      <c r="A81" s="309"/>
      <c r="B81" s="352"/>
      <c r="C81" s="344"/>
      <c r="D81" s="344"/>
      <c r="E81" s="344"/>
      <c r="F81" s="344"/>
      <c r="G81" s="344"/>
      <c r="H81" s="369" t="s">
        <v>191</v>
      </c>
      <c r="I81" s="374"/>
      <c r="J81" s="374"/>
      <c r="K81" s="370"/>
      <c r="L81" s="307"/>
      <c r="M81" s="308"/>
      <c r="N81" s="425"/>
    </row>
    <row r="82" spans="1:32" ht="24" customHeight="1" x14ac:dyDescent="0.35">
      <c r="A82" s="309"/>
      <c r="B82" s="352"/>
      <c r="C82" s="344"/>
      <c r="D82" s="344"/>
      <c r="E82" s="344"/>
      <c r="F82" s="344"/>
      <c r="G82" s="344"/>
      <c r="H82" s="369"/>
      <c r="I82" s="323" t="s">
        <v>112</v>
      </c>
      <c r="J82" s="324">
        <v>1</v>
      </c>
      <c r="K82" s="382"/>
      <c r="L82" s="307"/>
      <c r="M82" s="308"/>
      <c r="N82" s="425"/>
    </row>
    <row r="83" spans="1:32" ht="24" customHeight="1" x14ac:dyDescent="0.35">
      <c r="A83" s="325"/>
      <c r="B83" s="359"/>
      <c r="C83" s="310"/>
      <c r="D83" s="310"/>
      <c r="E83" s="310"/>
      <c r="F83" s="310"/>
      <c r="G83" s="310"/>
      <c r="H83" s="891" t="s">
        <v>212</v>
      </c>
      <c r="I83" s="892"/>
      <c r="J83" s="892"/>
      <c r="K83" s="893"/>
      <c r="L83" s="326"/>
      <c r="M83" s="299"/>
      <c r="N83" s="425"/>
      <c r="R83" s="349" t="s">
        <v>430</v>
      </c>
      <c r="S83" s="292" t="s">
        <v>308</v>
      </c>
    </row>
    <row r="84" spans="1:32" ht="24" customHeight="1" x14ac:dyDescent="0.35">
      <c r="A84" s="350" t="s">
        <v>132</v>
      </c>
      <c r="B84" s="407">
        <v>4.17</v>
      </c>
      <c r="C84" s="340">
        <v>0.1</v>
      </c>
      <c r="D84" s="340">
        <v>0.3</v>
      </c>
      <c r="E84" s="340">
        <v>0.5</v>
      </c>
      <c r="F84" s="340">
        <v>0.7</v>
      </c>
      <c r="G84" s="340">
        <v>1</v>
      </c>
      <c r="H84" s="371" t="s">
        <v>123</v>
      </c>
      <c r="I84" s="372"/>
      <c r="J84" s="372"/>
      <c r="K84" s="373"/>
      <c r="L84" s="304">
        <f>4+P85</f>
        <v>4.9372549019607845</v>
      </c>
      <c r="M84" s="305">
        <f>IF(L84=0,"-",ROUND(L84*B84/B$98,4))</f>
        <v>0.2059</v>
      </c>
      <c r="N84" s="425" t="s">
        <v>213</v>
      </c>
      <c r="O84" s="292">
        <v>30</v>
      </c>
      <c r="P84" s="292">
        <v>1</v>
      </c>
      <c r="R84" s="432" t="s">
        <v>237</v>
      </c>
      <c r="S84" s="472">
        <v>100</v>
      </c>
    </row>
    <row r="85" spans="1:32" ht="24" customHeight="1" x14ac:dyDescent="0.35">
      <c r="A85" s="351" t="s">
        <v>192</v>
      </c>
      <c r="B85" s="352"/>
      <c r="C85" s="320"/>
      <c r="D85" s="320"/>
      <c r="E85" s="320"/>
      <c r="F85" s="320"/>
      <c r="G85" s="311"/>
      <c r="H85" s="369" t="s">
        <v>124</v>
      </c>
      <c r="I85" s="322"/>
      <c r="J85" s="353"/>
      <c r="K85" s="354"/>
      <c r="L85" s="355"/>
      <c r="M85" s="308"/>
      <c r="N85" s="454" t="s">
        <v>202</v>
      </c>
      <c r="O85" s="541">
        <f>J89-70</f>
        <v>28.117647058823536</v>
      </c>
      <c r="P85" s="298">
        <f>P84*O85/O84</f>
        <v>0.93725490196078454</v>
      </c>
      <c r="Q85" s="298"/>
      <c r="R85" s="432" t="s">
        <v>477</v>
      </c>
      <c r="S85" s="472">
        <v>100</v>
      </c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</row>
    <row r="86" spans="1:32" ht="24" customHeight="1" x14ac:dyDescent="0.35">
      <c r="A86" s="351"/>
      <c r="B86" s="352"/>
      <c r="C86" s="320"/>
      <c r="D86" s="320"/>
      <c r="E86" s="320"/>
      <c r="F86" s="320"/>
      <c r="G86" s="320"/>
      <c r="H86" s="374" t="s">
        <v>125</v>
      </c>
      <c r="I86" s="322"/>
      <c r="J86" s="353"/>
      <c r="K86" s="354"/>
      <c r="L86" s="355"/>
      <c r="M86" s="308"/>
      <c r="N86" s="481" t="s">
        <v>236</v>
      </c>
      <c r="O86" s="356"/>
      <c r="P86" s="356"/>
      <c r="Q86" s="356"/>
      <c r="R86" s="432" t="s">
        <v>476</v>
      </c>
      <c r="S86" s="472">
        <v>100</v>
      </c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</row>
    <row r="87" spans="1:32" ht="24" customHeight="1" x14ac:dyDescent="0.35">
      <c r="A87" s="351"/>
      <c r="B87" s="352"/>
      <c r="C87" s="320"/>
      <c r="D87" s="320"/>
      <c r="E87" s="320"/>
      <c r="F87" s="320"/>
      <c r="G87" s="320"/>
      <c r="H87" s="369" t="s">
        <v>126</v>
      </c>
      <c r="I87" s="322"/>
      <c r="J87" s="353"/>
      <c r="K87" s="354"/>
      <c r="L87" s="355"/>
      <c r="M87" s="308"/>
      <c r="O87" s="356"/>
      <c r="P87" s="356"/>
      <c r="Q87" s="356"/>
      <c r="R87" s="432" t="s">
        <v>471</v>
      </c>
      <c r="S87" s="472">
        <v>100</v>
      </c>
      <c r="T87" s="356"/>
      <c r="U87" s="356"/>
      <c r="V87" s="356"/>
      <c r="W87" s="356"/>
      <c r="X87" s="356"/>
      <c r="Y87" s="356"/>
      <c r="Z87" s="356"/>
      <c r="AA87" s="356"/>
      <c r="AB87" s="356"/>
      <c r="AC87" s="356"/>
      <c r="AD87" s="356"/>
      <c r="AE87" s="356"/>
      <c r="AF87" s="356"/>
    </row>
    <row r="88" spans="1:32" ht="24" customHeight="1" x14ac:dyDescent="0.35">
      <c r="A88" s="351"/>
      <c r="B88" s="352"/>
      <c r="C88" s="320"/>
      <c r="D88" s="320"/>
      <c r="E88" s="320"/>
      <c r="F88" s="320"/>
      <c r="G88" s="320"/>
      <c r="H88" s="369" t="s">
        <v>127</v>
      </c>
      <c r="I88" s="322"/>
      <c r="J88" s="353"/>
      <c r="K88" s="354"/>
      <c r="L88" s="355"/>
      <c r="M88" s="308"/>
      <c r="O88" s="356"/>
      <c r="P88" s="356"/>
      <c r="Q88" s="356"/>
      <c r="R88" s="432" t="s">
        <v>472</v>
      </c>
      <c r="S88" s="472">
        <v>100</v>
      </c>
      <c r="T88" s="356"/>
      <c r="U88" s="356"/>
      <c r="V88" s="356"/>
      <c r="W88" s="356"/>
      <c r="X88" s="356"/>
      <c r="Y88" s="356"/>
      <c r="Z88" s="356"/>
      <c r="AA88" s="356"/>
      <c r="AB88" s="356"/>
      <c r="AC88" s="356"/>
      <c r="AD88" s="356"/>
      <c r="AE88" s="356"/>
      <c r="AF88" s="356"/>
    </row>
    <row r="89" spans="1:32" ht="24" customHeight="1" x14ac:dyDescent="0.35">
      <c r="A89" s="351"/>
      <c r="B89" s="352"/>
      <c r="C89" s="320"/>
      <c r="D89" s="320"/>
      <c r="E89" s="320"/>
      <c r="F89" s="320"/>
      <c r="G89" s="320"/>
      <c r="H89" s="369"/>
      <c r="I89" s="323" t="s">
        <v>114</v>
      </c>
      <c r="J89" s="487">
        <f>S101</f>
        <v>98.117647058823536</v>
      </c>
      <c r="K89" s="382" t="s">
        <v>51</v>
      </c>
      <c r="L89" s="355"/>
      <c r="M89" s="308"/>
      <c r="O89" s="356"/>
      <c r="P89" s="356"/>
      <c r="Q89" s="356"/>
      <c r="R89" s="432" t="s">
        <v>473</v>
      </c>
      <c r="S89" s="472">
        <v>100</v>
      </c>
      <c r="T89" s="356"/>
      <c r="U89" s="356"/>
      <c r="V89" s="356"/>
      <c r="W89" s="356"/>
      <c r="X89" s="356"/>
      <c r="Y89" s="356"/>
      <c r="Z89" s="356"/>
      <c r="AA89" s="356"/>
      <c r="AB89" s="356"/>
      <c r="AC89" s="356"/>
      <c r="AD89" s="356"/>
      <c r="AE89" s="356"/>
      <c r="AF89" s="356"/>
    </row>
    <row r="90" spans="1:32" ht="24" customHeight="1" x14ac:dyDescent="0.35">
      <c r="A90" s="358"/>
      <c r="B90" s="359"/>
      <c r="C90" s="310"/>
      <c r="D90" s="310"/>
      <c r="E90" s="310"/>
      <c r="F90" s="310"/>
      <c r="G90" s="310"/>
      <c r="H90" s="330"/>
      <c r="I90" s="376"/>
      <c r="J90" s="376"/>
      <c r="K90" s="377"/>
      <c r="L90" s="360"/>
      <c r="M90" s="299"/>
      <c r="O90" s="356"/>
      <c r="P90" s="356"/>
      <c r="Q90" s="356"/>
      <c r="R90" s="432" t="s">
        <v>474</v>
      </c>
      <c r="S90" s="472">
        <v>91</v>
      </c>
      <c r="T90" s="356"/>
      <c r="U90" s="356"/>
      <c r="V90" s="357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</row>
    <row r="91" spans="1:32" ht="24" customHeight="1" x14ac:dyDescent="0.35">
      <c r="A91" s="302" t="s">
        <v>115</v>
      </c>
      <c r="B91" s="407">
        <v>4.17</v>
      </c>
      <c r="C91" s="361">
        <v>0.8</v>
      </c>
      <c r="D91" s="361">
        <v>0.85</v>
      </c>
      <c r="E91" s="361">
        <v>0.9</v>
      </c>
      <c r="F91" s="361">
        <v>0.95</v>
      </c>
      <c r="G91" s="361">
        <v>1</v>
      </c>
      <c r="H91" s="371" t="s">
        <v>157</v>
      </c>
      <c r="I91" s="372"/>
      <c r="J91" s="372"/>
      <c r="K91" s="373"/>
      <c r="L91" s="304">
        <f>4+O94</f>
        <v>4.9779999999999998</v>
      </c>
      <c r="M91" s="305">
        <f>IF(L91=0,"-",ROUND(L91*B91/B$98,4))</f>
        <v>0.20760000000000001</v>
      </c>
      <c r="N91" s="425" t="s">
        <v>213</v>
      </c>
      <c r="O91" s="356"/>
      <c r="P91" s="356"/>
      <c r="Q91" s="514"/>
      <c r="R91" s="432" t="s">
        <v>475</v>
      </c>
      <c r="S91" s="472">
        <v>100</v>
      </c>
      <c r="T91" s="356"/>
      <c r="U91" s="356"/>
      <c r="V91" s="357"/>
      <c r="W91" s="356"/>
      <c r="X91" s="356"/>
      <c r="Y91" s="356"/>
      <c r="Z91" s="356"/>
      <c r="AA91" s="356"/>
      <c r="AB91" s="356"/>
      <c r="AC91" s="356"/>
      <c r="AD91" s="356"/>
      <c r="AE91" s="356"/>
      <c r="AF91" s="356"/>
    </row>
    <row r="92" spans="1:32" ht="24" customHeight="1" x14ac:dyDescent="0.35">
      <c r="A92" s="309" t="s">
        <v>116</v>
      </c>
      <c r="B92" s="352"/>
      <c r="C92" s="348"/>
      <c r="D92" s="348"/>
      <c r="E92" s="348"/>
      <c r="F92" s="348"/>
      <c r="G92" s="348"/>
      <c r="H92" s="369" t="s">
        <v>158</v>
      </c>
      <c r="I92" s="374"/>
      <c r="J92" s="374"/>
      <c r="K92" s="370"/>
      <c r="L92" s="362"/>
      <c r="M92" s="308"/>
      <c r="N92" s="448" t="s">
        <v>203</v>
      </c>
      <c r="Q92" s="514"/>
      <c r="R92" s="432" t="s">
        <v>478</v>
      </c>
      <c r="S92" s="472">
        <v>100</v>
      </c>
    </row>
    <row r="93" spans="1:32" ht="24" customHeight="1" x14ac:dyDescent="0.35">
      <c r="A93" s="309" t="s">
        <v>193</v>
      </c>
      <c r="B93" s="352"/>
      <c r="C93" s="320"/>
      <c r="D93" s="320"/>
      <c r="E93" s="320"/>
      <c r="F93" s="320"/>
      <c r="G93" s="320"/>
      <c r="H93" s="369" t="s">
        <v>197</v>
      </c>
      <c r="I93" s="374"/>
      <c r="J93" s="374"/>
      <c r="K93" s="370"/>
      <c r="L93" s="362"/>
      <c r="M93" s="308"/>
      <c r="N93" s="292">
        <v>5</v>
      </c>
      <c r="O93" s="292">
        <v>1</v>
      </c>
      <c r="Q93" s="514"/>
      <c r="R93" s="432" t="s">
        <v>479</v>
      </c>
      <c r="S93" s="472">
        <v>100</v>
      </c>
    </row>
    <row r="94" spans="1:32" ht="24" customHeight="1" x14ac:dyDescent="0.35">
      <c r="A94" s="309"/>
      <c r="B94" s="352"/>
      <c r="C94" s="320"/>
      <c r="D94" s="320"/>
      <c r="E94" s="320"/>
      <c r="F94" s="320"/>
      <c r="G94" s="320"/>
      <c r="H94" s="369" t="s">
        <v>120</v>
      </c>
      <c r="I94" s="374"/>
      <c r="J94" s="374"/>
      <c r="K94" s="370"/>
      <c r="L94" s="362"/>
      <c r="M94" s="308"/>
      <c r="N94" s="292">
        <v>4.8899999999999997</v>
      </c>
      <c r="O94" s="292">
        <f>O93*N94/N93</f>
        <v>0.97799999999999998</v>
      </c>
      <c r="Q94" s="514"/>
      <c r="R94" s="432" t="s">
        <v>480</v>
      </c>
      <c r="S94" s="472">
        <v>100</v>
      </c>
    </row>
    <row r="95" spans="1:32" ht="24" customHeight="1" x14ac:dyDescent="0.35">
      <c r="A95" s="309"/>
      <c r="B95" s="352"/>
      <c r="C95" s="320"/>
      <c r="D95" s="320"/>
      <c r="E95" s="320"/>
      <c r="F95" s="320"/>
      <c r="G95" s="320"/>
      <c r="H95" s="369" t="s">
        <v>194</v>
      </c>
      <c r="I95" s="374"/>
      <c r="J95" s="374"/>
      <c r="K95" s="370"/>
      <c r="L95" s="362"/>
      <c r="M95" s="308"/>
      <c r="Q95" s="514"/>
      <c r="R95" s="432" t="s">
        <v>481</v>
      </c>
      <c r="S95" s="472">
        <v>100</v>
      </c>
    </row>
    <row r="96" spans="1:32" ht="24" customHeight="1" x14ac:dyDescent="0.35">
      <c r="A96" s="309"/>
      <c r="B96" s="352"/>
      <c r="C96" s="320"/>
      <c r="D96" s="320"/>
      <c r="E96" s="320"/>
      <c r="F96" s="320"/>
      <c r="G96" s="344"/>
      <c r="H96" s="369" t="s">
        <v>195</v>
      </c>
      <c r="I96" s="345"/>
      <c r="J96" s="408">
        <v>99.89</v>
      </c>
      <c r="K96" s="413" t="s">
        <v>51</v>
      </c>
      <c r="L96" s="412"/>
      <c r="M96" s="308"/>
      <c r="Q96" s="514"/>
      <c r="R96" s="432" t="s">
        <v>482</v>
      </c>
      <c r="S96" s="472">
        <v>100</v>
      </c>
    </row>
    <row r="97" spans="1:19" ht="24" customHeight="1" x14ac:dyDescent="0.35">
      <c r="A97" s="358"/>
      <c r="B97" s="414"/>
      <c r="C97" s="411"/>
      <c r="D97" s="411"/>
      <c r="E97" s="411"/>
      <c r="F97" s="411"/>
      <c r="G97" s="329"/>
      <c r="H97" s="891" t="s">
        <v>193</v>
      </c>
      <c r="I97" s="892"/>
      <c r="J97" s="892"/>
      <c r="K97" s="893"/>
      <c r="L97" s="416"/>
      <c r="M97" s="308"/>
      <c r="Q97" s="514"/>
      <c r="R97" s="432" t="s">
        <v>483</v>
      </c>
      <c r="S97" s="472">
        <v>83</v>
      </c>
    </row>
    <row r="98" spans="1:19" ht="26.25" x14ac:dyDescent="0.4">
      <c r="A98" s="363"/>
      <c r="B98" s="409">
        <f>ROUND(SUM(B6:B97),1)</f>
        <v>100</v>
      </c>
      <c r="C98" s="364"/>
      <c r="D98" s="364"/>
      <c r="E98" s="364"/>
      <c r="F98" s="364"/>
      <c r="G98" s="365"/>
      <c r="H98" s="364"/>
      <c r="I98" s="364"/>
      <c r="J98" s="364"/>
      <c r="K98" s="364"/>
      <c r="L98" s="366" t="s">
        <v>139</v>
      </c>
      <c r="M98" s="410">
        <f>(SUM(M6:M97))</f>
        <v>3.1978</v>
      </c>
      <c r="Q98" s="514"/>
      <c r="R98" s="432" t="s">
        <v>484</v>
      </c>
      <c r="S98" s="472">
        <v>100</v>
      </c>
    </row>
    <row r="99" spans="1:19" x14ac:dyDescent="0.35">
      <c r="Q99" s="514"/>
      <c r="R99" s="432" t="s">
        <v>485</v>
      </c>
      <c r="S99" s="472">
        <v>100</v>
      </c>
    </row>
    <row r="100" spans="1:19" ht="23.25" x14ac:dyDescent="0.35">
      <c r="A100" s="563"/>
      <c r="B100" s="564"/>
      <c r="Q100" s="514"/>
      <c r="R100" s="432" t="s">
        <v>486</v>
      </c>
      <c r="S100" s="472">
        <v>94</v>
      </c>
    </row>
    <row r="101" spans="1:19" ht="23.25" x14ac:dyDescent="0.35">
      <c r="A101" s="564"/>
      <c r="B101" s="564"/>
      <c r="M101" s="543"/>
      <c r="Q101" s="514"/>
      <c r="R101" s="292" t="s">
        <v>487</v>
      </c>
      <c r="S101" s="292">
        <f>SUM(S84:S100)/17</f>
        <v>98.117647058823536</v>
      </c>
    </row>
    <row r="102" spans="1:19" ht="23.25" x14ac:dyDescent="0.35">
      <c r="B102" s="564"/>
      <c r="Q102" s="514"/>
    </row>
    <row r="103" spans="1:19" x14ac:dyDescent="0.35">
      <c r="Q103" s="514"/>
    </row>
    <row r="104" spans="1:19" x14ac:dyDescent="0.35">
      <c r="Q104" s="441"/>
    </row>
  </sheetData>
  <mergeCells count="36">
    <mergeCell ref="W61:X61"/>
    <mergeCell ref="H97:K97"/>
    <mergeCell ref="H77:K77"/>
    <mergeCell ref="H83:K83"/>
    <mergeCell ref="H12:I13"/>
    <mergeCell ref="J12:K12"/>
    <mergeCell ref="H16:I16"/>
    <mergeCell ref="W51:X51"/>
    <mergeCell ref="W56:X56"/>
    <mergeCell ref="T31:U31"/>
    <mergeCell ref="H30:K30"/>
    <mergeCell ref="H42:K42"/>
    <mergeCell ref="H37:K37"/>
    <mergeCell ref="H35:K35"/>
    <mergeCell ref="H23:K23"/>
    <mergeCell ref="A1:M1"/>
    <mergeCell ref="A2:M2"/>
    <mergeCell ref="C4:G4"/>
    <mergeCell ref="H4:K5"/>
    <mergeCell ref="L4:L5"/>
    <mergeCell ref="H6:I7"/>
    <mergeCell ref="J6:K6"/>
    <mergeCell ref="H9:I9"/>
    <mergeCell ref="H28:K28"/>
    <mergeCell ref="H29:K29"/>
    <mergeCell ref="H25:K25"/>
    <mergeCell ref="H10:I10"/>
    <mergeCell ref="H11:I11"/>
    <mergeCell ref="H15:I15"/>
    <mergeCell ref="H18:I18"/>
    <mergeCell ref="H19:I19"/>
    <mergeCell ref="H20:I20"/>
    <mergeCell ref="H22:K22"/>
    <mergeCell ref="H27:K27"/>
    <mergeCell ref="H24:K24"/>
    <mergeCell ref="H21:K21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  <ignoredErrors>
    <ignoredError sqref="J33 J40 J46 J71 L84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9.140625" style="292"/>
    <col min="15" max="15" width="59" style="292" bestFit="1" customWidth="1"/>
    <col min="16" max="16" width="11.28515625" style="292" bestFit="1" customWidth="1"/>
    <col min="17" max="17" width="15" style="292" bestFit="1" customWidth="1"/>
    <col min="18" max="16384" width="9.140625" style="292"/>
  </cols>
  <sheetData>
    <row r="1" spans="1:14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4" ht="24" customHeight="1" x14ac:dyDescent="0.4">
      <c r="A2" s="897" t="s">
        <v>467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14" ht="24" customHeight="1" x14ac:dyDescent="0.35">
      <c r="A3" s="293" t="s">
        <v>392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4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14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14" ht="24" customHeight="1" x14ac:dyDescent="0.35">
      <c r="A6" s="302" t="s">
        <v>169</v>
      </c>
      <c r="B6" s="391">
        <v>4</v>
      </c>
      <c r="C6" s="303">
        <v>0.65</v>
      </c>
      <c r="D6" s="303">
        <v>0.7</v>
      </c>
      <c r="E6" s="303">
        <v>0.75</v>
      </c>
      <c r="F6" s="303">
        <v>0.8</v>
      </c>
      <c r="G6" s="303">
        <v>0.85</v>
      </c>
      <c r="H6" s="894" t="s">
        <v>141</v>
      </c>
      <c r="I6" s="895"/>
      <c r="J6" s="895"/>
      <c r="K6" s="896"/>
      <c r="L6" s="304">
        <f>สพญ.!L21</f>
        <v>4.8019259259259259</v>
      </c>
      <c r="M6" s="305">
        <f>IF(L6=0,"-",ROUND(L6*B6/B$82,4))</f>
        <v>0.26679999999999998</v>
      </c>
    </row>
    <row r="7" spans="1:14" ht="24" customHeight="1" x14ac:dyDescent="0.35">
      <c r="A7" s="309" t="s">
        <v>44</v>
      </c>
      <c r="B7" s="399"/>
      <c r="C7" s="320"/>
      <c r="D7" s="320"/>
      <c r="E7" s="320"/>
      <c r="F7" s="320"/>
      <c r="G7" s="320"/>
      <c r="H7" s="880" t="s">
        <v>142</v>
      </c>
      <c r="I7" s="887"/>
      <c r="J7" s="887"/>
      <c r="K7" s="881"/>
      <c r="L7" s="307"/>
      <c r="M7" s="308"/>
    </row>
    <row r="8" spans="1:14" ht="24" customHeight="1" x14ac:dyDescent="0.35">
      <c r="A8" s="309"/>
      <c r="B8" s="399"/>
      <c r="C8" s="320"/>
      <c r="D8" s="320"/>
      <c r="E8" s="320"/>
      <c r="F8" s="320"/>
      <c r="G8" s="320"/>
      <c r="H8" s="880" t="s">
        <v>143</v>
      </c>
      <c r="I8" s="887"/>
      <c r="J8" s="887"/>
      <c r="K8" s="881"/>
      <c r="L8" s="307"/>
      <c r="M8" s="308"/>
    </row>
    <row r="9" spans="1:14" ht="24" customHeight="1" x14ac:dyDescent="0.35">
      <c r="A9" s="309"/>
      <c r="B9" s="399"/>
      <c r="C9" s="320"/>
      <c r="D9" s="320"/>
      <c r="E9" s="320"/>
      <c r="F9" s="320"/>
      <c r="G9" s="320"/>
      <c r="H9" s="880" t="s">
        <v>144</v>
      </c>
      <c r="I9" s="887"/>
      <c r="J9" s="887"/>
      <c r="K9" s="881"/>
      <c r="L9" s="307"/>
      <c r="M9" s="308"/>
    </row>
    <row r="10" spans="1:14" ht="24" customHeight="1" x14ac:dyDescent="0.35">
      <c r="A10" s="309"/>
      <c r="B10" s="399"/>
      <c r="C10" s="320"/>
      <c r="D10" s="320"/>
      <c r="E10" s="320"/>
      <c r="F10" s="320"/>
      <c r="G10" s="320"/>
      <c r="H10" s="880" t="s">
        <v>170</v>
      </c>
      <c r="I10" s="887"/>
      <c r="J10" s="887"/>
      <c r="K10" s="881"/>
      <c r="L10" s="307"/>
      <c r="M10" s="308"/>
    </row>
    <row r="11" spans="1:14" ht="24" customHeight="1" x14ac:dyDescent="0.35">
      <c r="A11" s="309"/>
      <c r="B11" s="399"/>
      <c r="C11" s="320"/>
      <c r="D11" s="320"/>
      <c r="E11" s="320"/>
      <c r="F11" s="320"/>
      <c r="G11" s="320"/>
      <c r="I11" s="323" t="s">
        <v>54</v>
      </c>
      <c r="J11" s="324">
        <f>สพญ.!J26</f>
        <v>84.009629629629629</v>
      </c>
      <c r="K11" s="570" t="s">
        <v>51</v>
      </c>
      <c r="L11" s="307"/>
      <c r="M11" s="308"/>
    </row>
    <row r="12" spans="1:14" ht="24" customHeight="1" x14ac:dyDescent="0.35">
      <c r="A12" s="325"/>
      <c r="B12" s="402"/>
      <c r="C12" s="310"/>
      <c r="D12" s="310"/>
      <c r="E12" s="310"/>
      <c r="F12" s="310"/>
      <c r="G12" s="310"/>
      <c r="H12" s="891" t="s">
        <v>316</v>
      </c>
      <c r="I12" s="892"/>
      <c r="J12" s="892"/>
      <c r="K12" s="893"/>
      <c r="L12" s="326"/>
      <c r="M12" s="299"/>
    </row>
    <row r="13" spans="1:14" ht="24" customHeight="1" x14ac:dyDescent="0.35">
      <c r="A13" s="302" t="s">
        <v>53</v>
      </c>
      <c r="B13" s="403">
        <v>12</v>
      </c>
      <c r="C13" s="303">
        <v>0.6</v>
      </c>
      <c r="D13" s="303">
        <v>0.7</v>
      </c>
      <c r="E13" s="303">
        <v>0.8</v>
      </c>
      <c r="F13" s="303">
        <v>0.9</v>
      </c>
      <c r="G13" s="303">
        <v>1</v>
      </c>
      <c r="H13" s="895" t="s">
        <v>171</v>
      </c>
      <c r="I13" s="895"/>
      <c r="J13" s="895"/>
      <c r="K13" s="896"/>
      <c r="L13" s="304">
        <f>สพญ.!L28</f>
        <v>2.905574760639118</v>
      </c>
      <c r="M13" s="305">
        <f>IF(L13=0,"-",ROUND(L13*B13/B$82,4))</f>
        <v>0.48430000000000001</v>
      </c>
      <c r="N13" s="425" t="s">
        <v>199</v>
      </c>
    </row>
    <row r="14" spans="1:14" ht="24" customHeight="1" x14ac:dyDescent="0.35">
      <c r="A14" s="309" t="s">
        <v>21</v>
      </c>
      <c r="B14" s="352"/>
      <c r="C14" s="320"/>
      <c r="D14" s="320"/>
      <c r="E14" s="320"/>
      <c r="F14" s="320"/>
      <c r="G14" s="320"/>
      <c r="H14" s="880" t="s">
        <v>83</v>
      </c>
      <c r="I14" s="887"/>
      <c r="J14" s="887"/>
      <c r="K14" s="881"/>
      <c r="L14" s="307"/>
      <c r="M14" s="308"/>
    </row>
    <row r="15" spans="1:14" ht="24" customHeight="1" x14ac:dyDescent="0.35">
      <c r="A15" s="309"/>
      <c r="B15" s="352"/>
      <c r="C15" s="320"/>
      <c r="D15" s="320"/>
      <c r="E15" s="320"/>
      <c r="F15" s="320"/>
      <c r="G15" s="320"/>
      <c r="H15" s="880" t="s">
        <v>172</v>
      </c>
      <c r="I15" s="887"/>
      <c r="J15" s="887"/>
      <c r="K15" s="881"/>
      <c r="L15" s="307"/>
      <c r="M15" s="308"/>
    </row>
    <row r="16" spans="1:14" ht="24" customHeight="1" x14ac:dyDescent="0.35">
      <c r="A16" s="309"/>
      <c r="B16" s="352"/>
      <c r="C16" s="320"/>
      <c r="D16" s="320"/>
      <c r="E16" s="320"/>
      <c r="F16" s="320"/>
      <c r="G16" s="320"/>
      <c r="H16" s="380" t="s">
        <v>173</v>
      </c>
      <c r="I16" s="323"/>
      <c r="J16" s="328"/>
      <c r="K16" s="570"/>
      <c r="L16" s="307"/>
      <c r="M16" s="308"/>
    </row>
    <row r="17" spans="1:17" ht="24" customHeight="1" x14ac:dyDescent="0.35">
      <c r="A17" s="309"/>
      <c r="B17" s="352"/>
      <c r="C17" s="320"/>
      <c r="D17" s="320"/>
      <c r="E17" s="320"/>
      <c r="F17" s="320"/>
      <c r="G17" s="320"/>
      <c r="H17" s="380"/>
      <c r="I17" s="323"/>
      <c r="J17" s="328"/>
      <c r="K17" s="570"/>
      <c r="L17" s="307"/>
      <c r="M17" s="308"/>
    </row>
    <row r="18" spans="1:17" ht="24" customHeight="1" x14ac:dyDescent="0.35">
      <c r="A18" s="309"/>
      <c r="B18" s="352"/>
      <c r="C18" s="320"/>
      <c r="D18" s="320"/>
      <c r="E18" s="320"/>
      <c r="F18" s="320"/>
      <c r="G18" s="320"/>
      <c r="H18" s="380"/>
      <c r="I18" s="323" t="s">
        <v>174</v>
      </c>
      <c r="J18" s="614">
        <f>สพญ.!J33</f>
        <v>79.055747606391179</v>
      </c>
      <c r="K18" s="570" t="s">
        <v>51</v>
      </c>
      <c r="L18" s="307"/>
      <c r="M18" s="308"/>
    </row>
    <row r="19" spans="1:17" ht="24" customHeight="1" x14ac:dyDescent="0.35">
      <c r="A19" s="325"/>
      <c r="B19" s="359"/>
      <c r="C19" s="310"/>
      <c r="D19" s="310"/>
      <c r="E19" s="310"/>
      <c r="F19" s="310"/>
      <c r="G19" s="310"/>
      <c r="H19" s="329"/>
      <c r="I19" s="330"/>
      <c r="J19" s="404"/>
      <c r="K19" s="331"/>
      <c r="L19" s="326"/>
      <c r="M19" s="299"/>
    </row>
    <row r="20" spans="1:17" ht="24" customHeight="1" x14ac:dyDescent="0.35">
      <c r="A20" s="302" t="s">
        <v>175</v>
      </c>
      <c r="B20" s="403">
        <v>12</v>
      </c>
      <c r="C20" s="303">
        <v>0.6</v>
      </c>
      <c r="D20" s="303">
        <v>0.7</v>
      </c>
      <c r="E20" s="303">
        <v>0.8</v>
      </c>
      <c r="F20" s="303">
        <v>0.9</v>
      </c>
      <c r="G20" s="303">
        <v>1</v>
      </c>
      <c r="H20" s="895" t="s">
        <v>176</v>
      </c>
      <c r="I20" s="895"/>
      <c r="J20" s="895"/>
      <c r="K20" s="896"/>
      <c r="L20" s="304">
        <f>สพญ.!L35</f>
        <v>3.1917203355868424</v>
      </c>
      <c r="M20" s="305">
        <f>IF(L20=0,"-",ROUND(L20*B20/B$82,4))</f>
        <v>0.53200000000000003</v>
      </c>
    </row>
    <row r="21" spans="1:17" ht="24" customHeight="1" x14ac:dyDescent="0.35">
      <c r="A21" s="309" t="s">
        <v>177</v>
      </c>
      <c r="B21" s="352"/>
      <c r="C21" s="320"/>
      <c r="D21" s="320"/>
      <c r="E21" s="320"/>
      <c r="F21" s="320"/>
      <c r="G21" s="320"/>
      <c r="H21" s="405" t="s">
        <v>178</v>
      </c>
      <c r="L21" s="307"/>
      <c r="M21" s="308"/>
      <c r="Q21" s="596"/>
    </row>
    <row r="22" spans="1:17" ht="24" customHeight="1" x14ac:dyDescent="0.35">
      <c r="A22" s="309"/>
      <c r="B22" s="352"/>
      <c r="C22" s="320"/>
      <c r="D22" s="320"/>
      <c r="E22" s="320"/>
      <c r="F22" s="320"/>
      <c r="G22" s="320"/>
      <c r="H22" s="880" t="s">
        <v>83</v>
      </c>
      <c r="I22" s="887"/>
      <c r="J22" s="887"/>
      <c r="K22" s="881"/>
      <c r="L22" s="307"/>
      <c r="M22" s="308"/>
      <c r="Q22" s="596"/>
    </row>
    <row r="23" spans="1:17" ht="24" customHeight="1" x14ac:dyDescent="0.35">
      <c r="A23" s="309"/>
      <c r="B23" s="352"/>
      <c r="C23" s="320"/>
      <c r="D23" s="320"/>
      <c r="E23" s="320"/>
      <c r="F23" s="320"/>
      <c r="G23" s="320"/>
      <c r="H23" s="569" t="s">
        <v>172</v>
      </c>
      <c r="I23" s="573"/>
      <c r="J23" s="573"/>
      <c r="K23" s="570"/>
      <c r="L23" s="307"/>
      <c r="M23" s="308"/>
      <c r="Q23" s="596"/>
    </row>
    <row r="24" spans="1:17" ht="24" customHeight="1" x14ac:dyDescent="0.35">
      <c r="A24" s="309"/>
      <c r="B24" s="352"/>
      <c r="C24" s="320"/>
      <c r="D24" s="320"/>
      <c r="E24" s="320"/>
      <c r="F24" s="320"/>
      <c r="G24" s="320"/>
      <c r="H24" s="380" t="s">
        <v>173</v>
      </c>
      <c r="I24" s="323"/>
      <c r="J24" s="328"/>
      <c r="K24" s="570"/>
      <c r="L24" s="307"/>
      <c r="M24" s="308"/>
      <c r="Q24" s="596"/>
    </row>
    <row r="25" spans="1:17" ht="24" customHeight="1" x14ac:dyDescent="0.35">
      <c r="A25" s="309"/>
      <c r="B25" s="352"/>
      <c r="C25" s="320"/>
      <c r="D25" s="320"/>
      <c r="E25" s="320"/>
      <c r="F25" s="320"/>
      <c r="G25" s="320"/>
      <c r="H25" s="380"/>
      <c r="I25" s="323" t="s">
        <v>174</v>
      </c>
      <c r="J25" s="328">
        <f>สพญ.!J40</f>
        <v>81.917203355868423</v>
      </c>
      <c r="K25" s="570" t="s">
        <v>51</v>
      </c>
      <c r="L25" s="307"/>
      <c r="M25" s="308"/>
      <c r="Q25" s="596"/>
    </row>
    <row r="26" spans="1:17" ht="24" customHeight="1" x14ac:dyDescent="0.35">
      <c r="A26" s="325"/>
      <c r="B26" s="359"/>
      <c r="C26" s="310"/>
      <c r="D26" s="310"/>
      <c r="E26" s="310"/>
      <c r="F26" s="310"/>
      <c r="G26" s="310"/>
      <c r="H26" s="329"/>
      <c r="I26" s="330"/>
      <c r="J26" s="404"/>
      <c r="K26" s="331"/>
      <c r="L26" s="326"/>
      <c r="M26" s="299"/>
      <c r="Q26" s="596"/>
    </row>
    <row r="27" spans="1:17" ht="24" customHeight="1" x14ac:dyDescent="0.35">
      <c r="A27" s="302" t="s">
        <v>179</v>
      </c>
      <c r="B27" s="403">
        <v>4</v>
      </c>
      <c r="C27" s="332">
        <v>0.5</v>
      </c>
      <c r="D27" s="332">
        <v>0.75</v>
      </c>
      <c r="E27" s="332">
        <v>1</v>
      </c>
      <c r="F27" s="332">
        <v>1</v>
      </c>
      <c r="G27" s="332">
        <v>1</v>
      </c>
      <c r="H27" s="894" t="s">
        <v>57</v>
      </c>
      <c r="I27" s="895"/>
      <c r="J27" s="895"/>
      <c r="K27" s="896"/>
      <c r="L27" s="304">
        <v>1.9408000000000001</v>
      </c>
      <c r="M27" s="305">
        <f>IF(L27=0,"-",ROUND(L27*B27/B$82,4))</f>
        <v>0.10780000000000001</v>
      </c>
      <c r="Q27" s="596"/>
    </row>
    <row r="28" spans="1:17" ht="24" customHeight="1" x14ac:dyDescent="0.35">
      <c r="A28" s="309" t="s">
        <v>23</v>
      </c>
      <c r="B28" s="352"/>
      <c r="C28" s="320"/>
      <c r="D28" s="320"/>
      <c r="E28" s="320"/>
      <c r="F28" s="335" t="s">
        <v>70</v>
      </c>
      <c r="G28" s="335" t="s">
        <v>70</v>
      </c>
      <c r="H28" s="569" t="s">
        <v>58</v>
      </c>
      <c r="I28" s="573"/>
      <c r="J28" s="573"/>
      <c r="K28" s="570"/>
      <c r="L28" s="307"/>
      <c r="M28" s="308"/>
      <c r="N28" s="425" t="s">
        <v>199</v>
      </c>
      <c r="Q28" s="596"/>
    </row>
    <row r="29" spans="1:17" ht="24" customHeight="1" x14ac:dyDescent="0.35">
      <c r="A29" s="309" t="s">
        <v>24</v>
      </c>
      <c r="B29" s="352"/>
      <c r="C29" s="320"/>
      <c r="D29" s="320"/>
      <c r="E29" s="320"/>
      <c r="F29" s="335" t="s">
        <v>137</v>
      </c>
      <c r="G29" s="335" t="s">
        <v>138</v>
      </c>
      <c r="H29" s="569" t="s">
        <v>147</v>
      </c>
      <c r="I29" s="573"/>
      <c r="J29" s="573"/>
      <c r="K29" s="570"/>
      <c r="L29" s="307"/>
      <c r="M29" s="308"/>
    </row>
    <row r="30" spans="1:17" ht="24" customHeight="1" x14ac:dyDescent="0.35">
      <c r="A30" s="309"/>
      <c r="B30" s="352"/>
      <c r="C30" s="320"/>
      <c r="D30" s="320"/>
      <c r="E30" s="320"/>
      <c r="F30" s="320"/>
      <c r="G30" s="320"/>
      <c r="H30" s="569" t="s">
        <v>180</v>
      </c>
      <c r="I30" s="573"/>
      <c r="J30" s="573"/>
      <c r="K30" s="570"/>
      <c r="L30" s="307"/>
      <c r="M30" s="308"/>
    </row>
    <row r="31" spans="1:17" ht="24" customHeight="1" x14ac:dyDescent="0.35">
      <c r="A31" s="309"/>
      <c r="B31" s="352"/>
      <c r="C31" s="320"/>
      <c r="D31" s="320"/>
      <c r="E31" s="320"/>
      <c r="F31" s="320"/>
      <c r="G31" s="311"/>
      <c r="H31" s="569"/>
      <c r="I31" s="323" t="s">
        <v>56</v>
      </c>
      <c r="J31" s="324">
        <f>สพญ.!J46</f>
        <v>83.024869473684205</v>
      </c>
      <c r="K31" s="570" t="s">
        <v>51</v>
      </c>
      <c r="L31" s="307"/>
      <c r="M31" s="308"/>
    </row>
    <row r="32" spans="1:17" ht="24" customHeight="1" x14ac:dyDescent="0.35">
      <c r="A32" s="309"/>
      <c r="B32" s="352"/>
      <c r="C32" s="320"/>
      <c r="D32" s="320"/>
      <c r="E32" s="320"/>
      <c r="F32" s="320"/>
      <c r="G32" s="320"/>
      <c r="H32" s="333"/>
      <c r="I32" s="306"/>
      <c r="J32" s="306"/>
      <c r="K32" s="312"/>
      <c r="L32" s="307"/>
      <c r="M32" s="308"/>
    </row>
    <row r="33" spans="1:15" ht="24" customHeight="1" x14ac:dyDescent="0.35">
      <c r="A33" s="302" t="s">
        <v>181</v>
      </c>
      <c r="B33" s="403">
        <v>4</v>
      </c>
      <c r="C33" s="332">
        <v>0.96</v>
      </c>
      <c r="D33" s="332">
        <v>0.97</v>
      </c>
      <c r="E33" s="332">
        <v>0.98</v>
      </c>
      <c r="F33" s="332">
        <v>0.99</v>
      </c>
      <c r="G33" s="332">
        <v>1</v>
      </c>
      <c r="H33" s="574" t="s">
        <v>148</v>
      </c>
      <c r="I33" s="571"/>
      <c r="J33" s="571"/>
      <c r="K33" s="572"/>
      <c r="L33" s="304">
        <f>3+O35</f>
        <v>3.2479948046742777</v>
      </c>
      <c r="M33" s="305">
        <f>IF(L33=0,"-",ROUND(L33*B33/B$82,4))</f>
        <v>0.1804</v>
      </c>
      <c r="N33" s="425" t="s">
        <v>200</v>
      </c>
    </row>
    <row r="34" spans="1:15" ht="24" customHeight="1" x14ac:dyDescent="0.35">
      <c r="A34" s="309" t="s">
        <v>26</v>
      </c>
      <c r="B34" s="352"/>
      <c r="C34" s="320"/>
      <c r="D34" s="320"/>
      <c r="E34" s="320"/>
      <c r="F34" s="320"/>
      <c r="G34" s="320"/>
      <c r="H34" s="380" t="s">
        <v>149</v>
      </c>
      <c r="I34" s="381"/>
      <c r="J34" s="381"/>
      <c r="K34" s="382"/>
      <c r="L34" s="307"/>
      <c r="M34" s="308"/>
      <c r="N34" s="292">
        <v>1</v>
      </c>
      <c r="O34" s="431">
        <v>1</v>
      </c>
    </row>
    <row r="35" spans="1:15" ht="24" customHeight="1" x14ac:dyDescent="0.35">
      <c r="A35" s="309"/>
      <c r="B35" s="352"/>
      <c r="C35" s="320"/>
      <c r="D35" s="320"/>
      <c r="E35" s="320"/>
      <c r="F35" s="320"/>
      <c r="G35" s="320"/>
      <c r="H35" s="380" t="s">
        <v>75</v>
      </c>
      <c r="I35" s="381"/>
      <c r="J35" s="381"/>
      <c r="K35" s="382"/>
      <c r="L35" s="307"/>
      <c r="M35" s="308"/>
      <c r="N35" s="540">
        <f>J37-98</f>
        <v>0.2479948046742777</v>
      </c>
      <c r="O35" s="651">
        <f>O34*N35/N34</f>
        <v>0.2479948046742777</v>
      </c>
    </row>
    <row r="36" spans="1:15" ht="24" customHeight="1" x14ac:dyDescent="0.35">
      <c r="A36" s="309"/>
      <c r="B36" s="352"/>
      <c r="C36" s="320"/>
      <c r="D36" s="320"/>
      <c r="E36" s="320"/>
      <c r="F36" s="320"/>
      <c r="G36" s="320"/>
      <c r="H36" s="380" t="s">
        <v>182</v>
      </c>
      <c r="I36" s="383"/>
      <c r="J36" s="383"/>
      <c r="K36" s="384"/>
      <c r="L36" s="307"/>
      <c r="M36" s="308"/>
    </row>
    <row r="37" spans="1:15" ht="24" customHeight="1" x14ac:dyDescent="0.35">
      <c r="A37" s="309"/>
      <c r="B37" s="352"/>
      <c r="C37" s="320"/>
      <c r="D37" s="320"/>
      <c r="E37" s="320"/>
      <c r="F37" s="320"/>
      <c r="G37" s="311"/>
      <c r="H37" s="569"/>
      <c r="I37" s="323" t="s">
        <v>56</v>
      </c>
      <c r="J37" s="324">
        <f>สพญ.!J52</f>
        <v>98.247994804674278</v>
      </c>
      <c r="K37" s="570" t="s">
        <v>51</v>
      </c>
      <c r="L37" s="307"/>
      <c r="M37" s="308"/>
    </row>
    <row r="38" spans="1:15" ht="24" customHeight="1" x14ac:dyDescent="0.35">
      <c r="A38" s="325"/>
      <c r="B38" s="359"/>
      <c r="C38" s="310"/>
      <c r="D38" s="310"/>
      <c r="E38" s="310"/>
      <c r="F38" s="310"/>
      <c r="G38" s="310"/>
      <c r="H38" s="329"/>
      <c r="I38" s="423"/>
      <c r="J38" s="423"/>
      <c r="K38" s="424"/>
      <c r="L38" s="326"/>
      <c r="M38" s="299"/>
      <c r="O38" s="492"/>
    </row>
    <row r="39" spans="1:15" ht="24" customHeight="1" x14ac:dyDescent="0.35">
      <c r="A39" s="302" t="s">
        <v>184</v>
      </c>
      <c r="B39" s="403">
        <v>4</v>
      </c>
      <c r="C39" s="332">
        <v>0.5</v>
      </c>
      <c r="D39" s="332">
        <v>0.75</v>
      </c>
      <c r="E39" s="332">
        <v>1</v>
      </c>
      <c r="F39" s="332">
        <v>1</v>
      </c>
      <c r="G39" s="332">
        <v>1</v>
      </c>
      <c r="H39" s="574" t="s">
        <v>152</v>
      </c>
      <c r="I39" s="571"/>
      <c r="J39" s="571"/>
      <c r="K39" s="572"/>
      <c r="L39" s="304">
        <v>5</v>
      </c>
      <c r="M39" s="305">
        <f>IF(L39=0,"-",ROUND(L39*B39/B$82,4))</f>
        <v>0.27779999999999999</v>
      </c>
    </row>
    <row r="40" spans="1:15" ht="24" customHeight="1" x14ac:dyDescent="0.35">
      <c r="A40" s="309" t="s">
        <v>151</v>
      </c>
      <c r="B40" s="406"/>
      <c r="C40" s="335"/>
      <c r="D40" s="335"/>
      <c r="E40" s="335"/>
      <c r="F40" s="335" t="s">
        <v>70</v>
      </c>
      <c r="G40" s="335" t="s">
        <v>70</v>
      </c>
      <c r="H40" s="573" t="s">
        <v>153</v>
      </c>
      <c r="I40" s="573"/>
      <c r="J40" s="573"/>
      <c r="K40" s="570"/>
      <c r="L40" s="307"/>
      <c r="M40" s="308"/>
    </row>
    <row r="41" spans="1:15" ht="24" customHeight="1" x14ac:dyDescent="0.35">
      <c r="A41" s="309"/>
      <c r="B41" s="406"/>
      <c r="C41" s="335"/>
      <c r="D41" s="335"/>
      <c r="E41" s="335"/>
      <c r="F41" s="335" t="s">
        <v>137</v>
      </c>
      <c r="G41" s="335" t="s">
        <v>138</v>
      </c>
      <c r="H41" s="573" t="s">
        <v>180</v>
      </c>
      <c r="I41" s="573"/>
      <c r="J41" s="573"/>
      <c r="K41" s="570"/>
      <c r="L41" s="307"/>
      <c r="M41" s="308"/>
    </row>
    <row r="42" spans="1:15" ht="24" customHeight="1" x14ac:dyDescent="0.35">
      <c r="A42" s="309"/>
      <c r="B42" s="406"/>
      <c r="C42" s="336"/>
      <c r="D42" s="336"/>
      <c r="E42" s="336"/>
      <c r="F42" s="336"/>
      <c r="G42" s="390"/>
      <c r="H42" s="569"/>
      <c r="I42" s="323" t="s">
        <v>56</v>
      </c>
      <c r="J42" s="324">
        <v>100</v>
      </c>
      <c r="K42" s="570" t="s">
        <v>51</v>
      </c>
      <c r="L42" s="307"/>
      <c r="M42" s="308"/>
    </row>
    <row r="43" spans="1:15" ht="24" customHeight="1" x14ac:dyDescent="0.35">
      <c r="A43" s="325"/>
      <c r="B43" s="359"/>
      <c r="C43" s="310"/>
      <c r="D43" s="310"/>
      <c r="E43" s="310"/>
      <c r="F43" s="310"/>
      <c r="G43" s="310"/>
      <c r="H43" s="565"/>
      <c r="I43" s="566"/>
      <c r="J43" s="566"/>
      <c r="K43" s="567"/>
      <c r="L43" s="326"/>
      <c r="M43" s="299"/>
    </row>
    <row r="44" spans="1:15" ht="24" customHeight="1" x14ac:dyDescent="0.35">
      <c r="A44" s="302" t="s">
        <v>185</v>
      </c>
      <c r="B44" s="403">
        <v>12</v>
      </c>
      <c r="C44" s="332">
        <v>0.78</v>
      </c>
      <c r="D44" s="332">
        <v>0.81</v>
      </c>
      <c r="E44" s="332">
        <v>0.84</v>
      </c>
      <c r="F44" s="332">
        <v>0.87</v>
      </c>
      <c r="G44" s="332">
        <v>0.9</v>
      </c>
      <c r="H44" s="574" t="s">
        <v>186</v>
      </c>
      <c r="I44" s="571"/>
      <c r="J44" s="571"/>
      <c r="K44" s="572"/>
      <c r="L44" s="304">
        <f>2+O45</f>
        <v>2.0284768346452373</v>
      </c>
      <c r="M44" s="305">
        <f>IF(L44=0,"-",ROUND(L44*B44/B$82,4))</f>
        <v>0.33810000000000001</v>
      </c>
      <c r="N44" s="292">
        <v>3</v>
      </c>
      <c r="O44" s="431">
        <v>1</v>
      </c>
    </row>
    <row r="45" spans="1:15" ht="24" customHeight="1" x14ac:dyDescent="0.35">
      <c r="A45" s="309" t="s">
        <v>85</v>
      </c>
      <c r="B45" s="352"/>
      <c r="C45" s="320"/>
      <c r="D45" s="320"/>
      <c r="E45" s="320"/>
      <c r="F45" s="320"/>
      <c r="G45" s="320"/>
      <c r="H45" s="569" t="s">
        <v>196</v>
      </c>
      <c r="I45" s="573"/>
      <c r="J45" s="573"/>
      <c r="K45" s="570"/>
      <c r="L45" s="307"/>
      <c r="M45" s="308"/>
      <c r="N45" s="545">
        <f>J48-81</f>
        <v>8.5430503935711499E-2</v>
      </c>
      <c r="O45" s="431">
        <f>O44*N45/N44</f>
        <v>2.8476834645237165E-2</v>
      </c>
    </row>
    <row r="46" spans="1:15" ht="24" customHeight="1" x14ac:dyDescent="0.35">
      <c r="A46" s="309"/>
      <c r="B46" s="352"/>
      <c r="C46" s="320"/>
      <c r="D46" s="320"/>
      <c r="E46" s="320"/>
      <c r="F46" s="320"/>
      <c r="G46" s="320"/>
      <c r="H46" s="327"/>
      <c r="I46" s="327" t="s">
        <v>87</v>
      </c>
      <c r="J46" s="429">
        <f>สพญ.!J69</f>
        <v>5534949956</v>
      </c>
      <c r="K46" s="570" t="s">
        <v>187</v>
      </c>
      <c r="L46" s="307"/>
      <c r="M46" s="308"/>
    </row>
    <row r="47" spans="1:15" ht="24" customHeight="1" x14ac:dyDescent="0.35">
      <c r="A47" s="309"/>
      <c r="B47" s="352"/>
      <c r="C47" s="320"/>
      <c r="D47" s="320"/>
      <c r="E47" s="320"/>
      <c r="F47" s="320"/>
      <c r="G47" s="320"/>
      <c r="H47" s="327"/>
      <c r="I47" s="323" t="s">
        <v>188</v>
      </c>
      <c r="J47" s="430">
        <f>สพญ.!J70</f>
        <v>4488038000</v>
      </c>
      <c r="K47" s="570" t="s">
        <v>187</v>
      </c>
      <c r="L47" s="307"/>
      <c r="M47" s="308"/>
    </row>
    <row r="48" spans="1:15" ht="24" customHeight="1" x14ac:dyDescent="0.35">
      <c r="A48" s="309"/>
      <c r="B48" s="352"/>
      <c r="C48" s="320"/>
      <c r="D48" s="320"/>
      <c r="E48" s="320"/>
      <c r="F48" s="320"/>
      <c r="G48" s="320"/>
      <c r="H48" s="327"/>
      <c r="I48" s="323" t="s">
        <v>189</v>
      </c>
      <c r="J48" s="426">
        <f>J47*100/J46</f>
        <v>81.085430503935711</v>
      </c>
      <c r="K48" s="570" t="s">
        <v>51</v>
      </c>
      <c r="L48" s="307"/>
      <c r="M48" s="308"/>
    </row>
    <row r="49" spans="1:28" ht="24" customHeight="1" x14ac:dyDescent="0.35">
      <c r="A49" s="325"/>
      <c r="B49" s="359"/>
      <c r="C49" s="310"/>
      <c r="D49" s="310"/>
      <c r="E49" s="310"/>
      <c r="F49" s="310"/>
      <c r="G49" s="310"/>
      <c r="H49" s="337"/>
      <c r="I49" s="423"/>
      <c r="J49" s="338"/>
      <c r="K49" s="424"/>
      <c r="L49" s="326"/>
      <c r="M49" s="299"/>
    </row>
    <row r="50" spans="1:28" ht="24" customHeight="1" x14ac:dyDescent="0.35">
      <c r="A50" s="339" t="s">
        <v>190</v>
      </c>
      <c r="B50" s="407">
        <v>4</v>
      </c>
      <c r="C50" s="340">
        <v>0.65</v>
      </c>
      <c r="D50" s="340">
        <v>0.7</v>
      </c>
      <c r="E50" s="340">
        <v>0.75</v>
      </c>
      <c r="F50" s="340">
        <v>0.8</v>
      </c>
      <c r="G50" s="340">
        <v>0.85</v>
      </c>
      <c r="H50" s="574" t="s">
        <v>156</v>
      </c>
      <c r="I50" s="571"/>
      <c r="J50" s="571"/>
      <c r="K50" s="572"/>
      <c r="L50" s="304">
        <v>1</v>
      </c>
      <c r="M50" s="305">
        <f>IF(L50=0,"-",ROUND(L50*B50/B$82,4))</f>
        <v>5.5599999999999997E-2</v>
      </c>
    </row>
    <row r="51" spans="1:28" ht="24" customHeight="1" x14ac:dyDescent="0.35">
      <c r="A51" s="309" t="s">
        <v>145</v>
      </c>
      <c r="B51" s="352"/>
      <c r="C51" s="320"/>
      <c r="D51" s="320"/>
      <c r="E51" s="320"/>
      <c r="F51" s="320"/>
      <c r="G51" s="320"/>
      <c r="H51" s="569" t="s">
        <v>104</v>
      </c>
      <c r="I51" s="573"/>
      <c r="J51" s="573"/>
      <c r="K51" s="570"/>
      <c r="L51" s="307"/>
      <c r="M51" s="308"/>
    </row>
    <row r="52" spans="1:28" ht="24" customHeight="1" x14ac:dyDescent="0.35">
      <c r="A52" s="389" t="s">
        <v>155</v>
      </c>
      <c r="B52" s="352"/>
      <c r="C52" s="320"/>
      <c r="D52" s="320"/>
      <c r="E52" s="320"/>
      <c r="F52" s="320"/>
      <c r="G52" s="320"/>
      <c r="H52" s="569" t="s">
        <v>105</v>
      </c>
      <c r="I52" s="573"/>
      <c r="J52" s="573"/>
      <c r="K52" s="570"/>
      <c r="L52" s="307"/>
      <c r="M52" s="308"/>
    </row>
    <row r="53" spans="1:28" ht="24" customHeight="1" x14ac:dyDescent="0.35">
      <c r="A53" s="309"/>
      <c r="B53" s="352"/>
      <c r="C53" s="320"/>
      <c r="D53" s="320"/>
      <c r="E53" s="320"/>
      <c r="F53" s="320"/>
      <c r="G53" s="320"/>
      <c r="H53" s="341"/>
      <c r="I53" s="342" t="s">
        <v>113</v>
      </c>
      <c r="J53" s="343" t="s">
        <v>11</v>
      </c>
      <c r="K53" s="570" t="s">
        <v>51</v>
      </c>
      <c r="L53" s="307"/>
      <c r="M53" s="308"/>
    </row>
    <row r="54" spans="1:28" ht="24" customHeight="1" x14ac:dyDescent="0.35">
      <c r="A54" s="325"/>
      <c r="B54" s="359"/>
      <c r="C54" s="310"/>
      <c r="D54" s="310"/>
      <c r="E54" s="310"/>
      <c r="F54" s="310"/>
      <c r="G54" s="415"/>
      <c r="H54" s="891" t="s">
        <v>211</v>
      </c>
      <c r="I54" s="892"/>
      <c r="J54" s="892"/>
      <c r="K54" s="893"/>
      <c r="L54" s="326"/>
      <c r="M54" s="299"/>
    </row>
    <row r="55" spans="1:28" ht="24" customHeight="1" x14ac:dyDescent="0.35">
      <c r="A55" s="302" t="s">
        <v>106</v>
      </c>
      <c r="B55" s="407">
        <v>4</v>
      </c>
      <c r="C55" s="346" t="s">
        <v>29</v>
      </c>
      <c r="D55" s="346" t="s">
        <v>30</v>
      </c>
      <c r="E55" s="346" t="s">
        <v>31</v>
      </c>
      <c r="F55" s="346" t="s">
        <v>32</v>
      </c>
      <c r="G55" s="346" t="s">
        <v>33</v>
      </c>
      <c r="H55" s="574" t="s">
        <v>108</v>
      </c>
      <c r="I55" s="571"/>
      <c r="J55" s="571"/>
      <c r="K55" s="572"/>
      <c r="L55" s="304">
        <v>2</v>
      </c>
      <c r="M55" s="305">
        <f>IF(L55=0,"-",ROUND(L55*B55/B$82,4))</f>
        <v>0.1111</v>
      </c>
    </row>
    <row r="56" spans="1:28" ht="24" customHeight="1" x14ac:dyDescent="0.35">
      <c r="A56" s="309" t="s">
        <v>107</v>
      </c>
      <c r="B56" s="352"/>
      <c r="C56" s="348">
        <v>1.5</v>
      </c>
      <c r="D56" s="348">
        <v>2</v>
      </c>
      <c r="E56" s="348">
        <v>2.5</v>
      </c>
      <c r="F56" s="348">
        <v>3</v>
      </c>
      <c r="G56" s="348">
        <v>5</v>
      </c>
      <c r="H56" s="569" t="s">
        <v>146</v>
      </c>
      <c r="I56" s="573"/>
      <c r="J56" s="573"/>
      <c r="K56" s="570"/>
      <c r="L56" s="307"/>
      <c r="M56" s="30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</row>
    <row r="57" spans="1:28" ht="24" customHeight="1" x14ac:dyDescent="0.35">
      <c r="A57" s="309"/>
      <c r="B57" s="352"/>
      <c r="C57" s="344"/>
      <c r="D57" s="344"/>
      <c r="E57" s="344"/>
      <c r="F57" s="344"/>
      <c r="G57" s="344"/>
      <c r="H57" s="569" t="s">
        <v>110</v>
      </c>
      <c r="I57" s="573"/>
      <c r="J57" s="573"/>
      <c r="K57" s="570"/>
      <c r="L57" s="307"/>
      <c r="M57" s="308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</row>
    <row r="58" spans="1:28" ht="24" customHeight="1" x14ac:dyDescent="0.35">
      <c r="A58" s="309"/>
      <c r="B58" s="352"/>
      <c r="C58" s="344"/>
      <c r="D58" s="344"/>
      <c r="E58" s="344"/>
      <c r="F58" s="344"/>
      <c r="G58" s="344"/>
      <c r="H58" s="569" t="s">
        <v>191</v>
      </c>
      <c r="I58" s="573"/>
      <c r="J58" s="573"/>
      <c r="K58" s="570"/>
      <c r="L58" s="307"/>
      <c r="M58" s="308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</row>
    <row r="59" spans="1:28" ht="24" customHeight="1" x14ac:dyDescent="0.35">
      <c r="A59" s="309"/>
      <c r="B59" s="352"/>
      <c r="C59" s="344"/>
      <c r="D59" s="344"/>
      <c r="E59" s="344"/>
      <c r="F59" s="344"/>
      <c r="G59" s="344"/>
      <c r="H59" s="569"/>
      <c r="I59" s="323" t="s">
        <v>112</v>
      </c>
      <c r="J59" s="324">
        <v>2</v>
      </c>
      <c r="K59" s="382"/>
      <c r="L59" s="307"/>
      <c r="M59" s="308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</row>
    <row r="60" spans="1:28" ht="24" customHeight="1" x14ac:dyDescent="0.35">
      <c r="A60" s="325"/>
      <c r="B60" s="359"/>
      <c r="C60" s="310"/>
      <c r="D60" s="310"/>
      <c r="E60" s="310"/>
      <c r="F60" s="310"/>
      <c r="G60" s="310"/>
      <c r="H60" s="891"/>
      <c r="I60" s="892"/>
      <c r="J60" s="892"/>
      <c r="K60" s="893"/>
      <c r="L60" s="326"/>
      <c r="M60" s="299"/>
      <c r="P60" s="356"/>
      <c r="Q60" s="356"/>
      <c r="R60" s="356"/>
      <c r="S60" s="356"/>
      <c r="T60" s="356"/>
      <c r="U60" s="356"/>
      <c r="V60" s="356"/>
      <c r="W60" s="356"/>
      <c r="X60" s="356"/>
      <c r="Y60" s="356"/>
      <c r="Z60" s="356"/>
      <c r="AA60" s="356"/>
      <c r="AB60" s="356"/>
    </row>
    <row r="61" spans="1:28" ht="24" customHeight="1" x14ac:dyDescent="0.35">
      <c r="A61" s="350" t="s">
        <v>132</v>
      </c>
      <c r="B61" s="407">
        <v>4</v>
      </c>
      <c r="C61" s="340">
        <v>0.1</v>
      </c>
      <c r="D61" s="340">
        <v>0.3</v>
      </c>
      <c r="E61" s="340">
        <v>0.5</v>
      </c>
      <c r="F61" s="340">
        <v>0.7</v>
      </c>
      <c r="G61" s="340">
        <v>1</v>
      </c>
      <c r="H61" s="574" t="s">
        <v>123</v>
      </c>
      <c r="I61" s="571"/>
      <c r="J61" s="571"/>
      <c r="K61" s="572"/>
      <c r="L61" s="304">
        <f>4+O63</f>
        <v>5</v>
      </c>
      <c r="M61" s="305">
        <f>IF(L61=0,"-",ROUND(L61*B61/B$82,4))</f>
        <v>0.27779999999999999</v>
      </c>
      <c r="N61" s="595" t="s">
        <v>202</v>
      </c>
      <c r="P61" s="356"/>
      <c r="Q61" s="356"/>
      <c r="R61" s="357"/>
      <c r="S61" s="356"/>
      <c r="T61" s="356"/>
      <c r="U61" s="356"/>
      <c r="V61" s="356"/>
      <c r="W61" s="356"/>
      <c r="X61" s="356"/>
      <c r="Y61" s="356"/>
      <c r="Z61" s="356"/>
      <c r="AA61" s="356"/>
      <c r="AB61" s="356"/>
    </row>
    <row r="62" spans="1:28" ht="24" customHeight="1" x14ac:dyDescent="0.35">
      <c r="A62" s="351" t="s">
        <v>192</v>
      </c>
      <c r="B62" s="352"/>
      <c r="C62" s="320"/>
      <c r="D62" s="320"/>
      <c r="E62" s="320"/>
      <c r="F62" s="320"/>
      <c r="G62" s="311"/>
      <c r="H62" s="569" t="s">
        <v>124</v>
      </c>
      <c r="I62" s="322"/>
      <c r="J62" s="353"/>
      <c r="K62" s="354"/>
      <c r="L62" s="355"/>
      <c r="M62" s="308"/>
      <c r="N62" s="292">
        <v>30</v>
      </c>
      <c r="O62" s="431">
        <v>1</v>
      </c>
      <c r="P62" s="356"/>
      <c r="Q62" s="356"/>
      <c r="R62" s="357"/>
      <c r="S62" s="356"/>
      <c r="T62" s="356"/>
      <c r="U62" s="356"/>
      <c r="V62" s="356"/>
      <c r="W62" s="356"/>
      <c r="X62" s="356"/>
      <c r="Y62" s="356"/>
      <c r="Z62" s="356"/>
      <c r="AA62" s="356"/>
      <c r="AB62" s="356"/>
    </row>
    <row r="63" spans="1:28" ht="24" customHeight="1" x14ac:dyDescent="0.35">
      <c r="A63" s="351"/>
      <c r="B63" s="352"/>
      <c r="C63" s="320"/>
      <c r="D63" s="320"/>
      <c r="E63" s="320"/>
      <c r="F63" s="320"/>
      <c r="G63" s="320"/>
      <c r="H63" s="573" t="s">
        <v>125</v>
      </c>
      <c r="I63" s="322"/>
      <c r="J63" s="353"/>
      <c r="K63" s="354"/>
      <c r="L63" s="355"/>
      <c r="M63" s="308"/>
      <c r="N63" s="542">
        <f>J66-70</f>
        <v>30</v>
      </c>
      <c r="O63" s="616">
        <f>O62*N63/N62</f>
        <v>1</v>
      </c>
    </row>
    <row r="64" spans="1:28" ht="24" customHeight="1" x14ac:dyDescent="0.35">
      <c r="A64" s="351"/>
      <c r="B64" s="352"/>
      <c r="C64" s="320"/>
      <c r="D64" s="320"/>
      <c r="E64" s="320"/>
      <c r="F64" s="320"/>
      <c r="G64" s="320"/>
      <c r="H64" s="569" t="s">
        <v>126</v>
      </c>
      <c r="I64" s="322"/>
      <c r="J64" s="353"/>
      <c r="K64" s="354"/>
      <c r="L64" s="355"/>
      <c r="M64" s="308"/>
      <c r="O64" s="356"/>
    </row>
    <row r="65" spans="1:15" ht="24" customHeight="1" x14ac:dyDescent="0.35">
      <c r="A65" s="351"/>
      <c r="B65" s="352"/>
      <c r="C65" s="320"/>
      <c r="D65" s="320"/>
      <c r="E65" s="320"/>
      <c r="F65" s="320"/>
      <c r="G65" s="320"/>
      <c r="H65" s="569" t="s">
        <v>127</v>
      </c>
      <c r="I65" s="322"/>
      <c r="J65" s="353"/>
      <c r="K65" s="354"/>
      <c r="L65" s="355"/>
      <c r="M65" s="308"/>
      <c r="O65" s="356"/>
    </row>
    <row r="66" spans="1:15" ht="24" customHeight="1" x14ac:dyDescent="0.35">
      <c r="A66" s="351"/>
      <c r="B66" s="352"/>
      <c r="C66" s="320"/>
      <c r="D66" s="320"/>
      <c r="E66" s="320"/>
      <c r="F66" s="320"/>
      <c r="G66" s="320"/>
      <c r="H66" s="569"/>
      <c r="I66" s="323" t="s">
        <v>114</v>
      </c>
      <c r="J66" s="408">
        <f>สพญ.!S85</f>
        <v>100</v>
      </c>
      <c r="K66" s="382" t="s">
        <v>51</v>
      </c>
      <c r="L66" s="355"/>
      <c r="M66" s="308"/>
      <c r="O66" s="356"/>
    </row>
    <row r="67" spans="1:15" ht="24" customHeight="1" x14ac:dyDescent="0.35">
      <c r="A67" s="358"/>
      <c r="B67" s="359"/>
      <c r="C67" s="310"/>
      <c r="D67" s="310"/>
      <c r="E67" s="310"/>
      <c r="F67" s="310"/>
      <c r="G67" s="310"/>
      <c r="H67" s="330"/>
      <c r="I67" s="423"/>
      <c r="J67" s="423"/>
      <c r="K67" s="424"/>
      <c r="L67" s="360"/>
      <c r="M67" s="299"/>
      <c r="O67" s="356"/>
    </row>
    <row r="68" spans="1:15" ht="24" customHeight="1" x14ac:dyDescent="0.35">
      <c r="A68" s="302" t="s">
        <v>115</v>
      </c>
      <c r="B68" s="407">
        <v>4</v>
      </c>
      <c r="C68" s="361">
        <v>0.8</v>
      </c>
      <c r="D68" s="361">
        <v>0.85</v>
      </c>
      <c r="E68" s="361">
        <v>0.9</v>
      </c>
      <c r="F68" s="361">
        <v>0.95</v>
      </c>
      <c r="G68" s="361">
        <v>1</v>
      </c>
      <c r="H68" s="574" t="s">
        <v>157</v>
      </c>
      <c r="I68" s="571"/>
      <c r="J68" s="571"/>
      <c r="K68" s="572"/>
      <c r="L68" s="304">
        <f>4+O70</f>
        <v>4.9779999999999998</v>
      </c>
      <c r="M68" s="305">
        <f>IF(L68=0,"-",ROUND(L68*B68/B$82,4))</f>
        <v>0.27660000000000001</v>
      </c>
      <c r="N68" s="425" t="s">
        <v>203</v>
      </c>
      <c r="O68" s="356"/>
    </row>
    <row r="69" spans="1:15" ht="24" customHeight="1" x14ac:dyDescent="0.35">
      <c r="A69" s="309" t="s">
        <v>116</v>
      </c>
      <c r="B69" s="352"/>
      <c r="C69" s="348"/>
      <c r="D69" s="348"/>
      <c r="E69" s="348"/>
      <c r="F69" s="348"/>
      <c r="G69" s="348"/>
      <c r="H69" s="569" t="s">
        <v>158</v>
      </c>
      <c r="I69" s="573"/>
      <c r="J69" s="573"/>
      <c r="K69" s="570"/>
      <c r="L69" s="362"/>
      <c r="M69" s="308"/>
      <c r="N69" s="292">
        <v>5</v>
      </c>
      <c r="O69" s="431">
        <v>1</v>
      </c>
    </row>
    <row r="70" spans="1:15" ht="23.25" x14ac:dyDescent="0.35">
      <c r="A70" s="309" t="s">
        <v>193</v>
      </c>
      <c r="B70" s="352"/>
      <c r="C70" s="320"/>
      <c r="D70" s="320"/>
      <c r="E70" s="320"/>
      <c r="F70" s="320"/>
      <c r="G70" s="320"/>
      <c r="H70" s="569" t="s">
        <v>197</v>
      </c>
      <c r="I70" s="573"/>
      <c r="J70" s="573"/>
      <c r="K70" s="570"/>
      <c r="L70" s="362"/>
      <c r="M70" s="308"/>
      <c r="N70" s="540">
        <f>J73-95</f>
        <v>4.8900000000000006</v>
      </c>
      <c r="O70" s="431">
        <f>O69*N70/N69</f>
        <v>0.97800000000000009</v>
      </c>
    </row>
    <row r="71" spans="1:15" ht="23.25" x14ac:dyDescent="0.35">
      <c r="A71" s="309"/>
      <c r="B71" s="352"/>
      <c r="C71" s="320"/>
      <c r="D71" s="320"/>
      <c r="E71" s="320"/>
      <c r="F71" s="320"/>
      <c r="G71" s="320"/>
      <c r="H71" s="569" t="s">
        <v>120</v>
      </c>
      <c r="I71" s="573"/>
      <c r="J71" s="573"/>
      <c r="K71" s="570"/>
      <c r="L71" s="362"/>
      <c r="M71" s="308"/>
    </row>
    <row r="72" spans="1:15" ht="23.25" x14ac:dyDescent="0.35">
      <c r="A72" s="309"/>
      <c r="B72" s="352"/>
      <c r="C72" s="320"/>
      <c r="D72" s="320"/>
      <c r="E72" s="320"/>
      <c r="F72" s="320"/>
      <c r="G72" s="320"/>
      <c r="H72" s="569" t="s">
        <v>194</v>
      </c>
      <c r="I72" s="573"/>
      <c r="J72" s="573"/>
      <c r="K72" s="570"/>
      <c r="L72" s="362"/>
      <c r="M72" s="308"/>
    </row>
    <row r="73" spans="1:15" ht="23.25" x14ac:dyDescent="0.35">
      <c r="A73" s="309"/>
      <c r="B73" s="352"/>
      <c r="C73" s="320"/>
      <c r="D73" s="320"/>
      <c r="E73" s="320"/>
      <c r="F73" s="320"/>
      <c r="G73" s="344"/>
      <c r="H73" s="569" t="s">
        <v>195</v>
      </c>
      <c r="I73" s="345"/>
      <c r="J73" s="408">
        <v>99.89</v>
      </c>
      <c r="K73" s="413" t="s">
        <v>51</v>
      </c>
      <c r="L73" s="412"/>
      <c r="M73" s="308"/>
    </row>
    <row r="74" spans="1:15" ht="23.25" x14ac:dyDescent="0.35">
      <c r="A74" s="358"/>
      <c r="B74" s="414"/>
      <c r="C74" s="411"/>
      <c r="D74" s="411"/>
      <c r="E74" s="411"/>
      <c r="F74" s="411"/>
      <c r="G74" s="329"/>
      <c r="H74" s="576"/>
      <c r="I74" s="915" t="s">
        <v>193</v>
      </c>
      <c r="J74" s="915"/>
      <c r="K74" s="584"/>
      <c r="L74" s="416"/>
      <c r="M74" s="308"/>
    </row>
    <row r="75" spans="1:15" ht="23.25" x14ac:dyDescent="0.35">
      <c r="A75" s="351" t="s">
        <v>324</v>
      </c>
      <c r="B75" s="585">
        <v>4</v>
      </c>
      <c r="C75" s="586">
        <v>0.4</v>
      </c>
      <c r="D75" s="586">
        <v>0.45</v>
      </c>
      <c r="E75" s="586">
        <v>0.5</v>
      </c>
      <c r="F75" s="586">
        <v>0.55000000000000004</v>
      </c>
      <c r="G75" s="586">
        <v>0.6</v>
      </c>
      <c r="H75" s="569" t="s">
        <v>325</v>
      </c>
      <c r="I75" s="345"/>
      <c r="J75" s="587"/>
      <c r="K75" s="588"/>
      <c r="L75" s="412">
        <v>4</v>
      </c>
      <c r="M75" s="305">
        <f>IF(L75=0,"-",ROUND(L75*B75/B$82,4))</f>
        <v>0.22220000000000001</v>
      </c>
    </row>
    <row r="76" spans="1:15" ht="23.25" x14ac:dyDescent="0.35">
      <c r="A76" s="351" t="s">
        <v>326</v>
      </c>
      <c r="B76" s="406"/>
      <c r="C76" s="311"/>
      <c r="D76" s="311"/>
      <c r="E76" s="311"/>
      <c r="F76" s="311"/>
      <c r="G76" s="333"/>
      <c r="H76" s="569" t="s">
        <v>327</v>
      </c>
      <c r="I76" s="345"/>
      <c r="J76" s="587"/>
      <c r="K76" s="588"/>
      <c r="L76" s="412"/>
      <c r="M76" s="308"/>
    </row>
    <row r="77" spans="1:15" ht="23.25" x14ac:dyDescent="0.35">
      <c r="A77" s="351"/>
      <c r="B77" s="406"/>
      <c r="C77" s="311"/>
      <c r="D77" s="311"/>
      <c r="E77" s="311"/>
      <c r="F77" s="311"/>
      <c r="G77" s="333"/>
      <c r="H77" s="569"/>
      <c r="I77" s="345"/>
      <c r="J77" s="587"/>
      <c r="K77" s="588"/>
      <c r="L77" s="412"/>
      <c r="M77" s="308"/>
    </row>
    <row r="78" spans="1:15" ht="23.25" x14ac:dyDescent="0.35">
      <c r="A78" s="351"/>
      <c r="B78" s="406"/>
      <c r="C78" s="311"/>
      <c r="D78" s="311"/>
      <c r="E78" s="311"/>
      <c r="F78" s="311"/>
      <c r="G78" s="333"/>
      <c r="H78" s="569"/>
      <c r="I78" s="345" t="s">
        <v>174</v>
      </c>
      <c r="J78" s="589">
        <v>55</v>
      </c>
      <c r="K78" s="413" t="s">
        <v>51</v>
      </c>
      <c r="L78" s="412"/>
      <c r="M78" s="308"/>
    </row>
    <row r="79" spans="1:15" ht="23.25" x14ac:dyDescent="0.35">
      <c r="A79" s="351"/>
      <c r="B79" s="406"/>
      <c r="C79" s="311"/>
      <c r="D79" s="311"/>
      <c r="E79" s="311"/>
      <c r="F79" s="311"/>
      <c r="G79" s="333"/>
      <c r="H79" s="569"/>
      <c r="I79" s="345"/>
      <c r="J79" s="587"/>
      <c r="K79" s="588"/>
      <c r="L79" s="412"/>
      <c r="M79" s="308"/>
    </row>
    <row r="80" spans="1:15" ht="23.25" x14ac:dyDescent="0.35">
      <c r="A80" s="351"/>
      <c r="B80" s="406"/>
      <c r="C80" s="311"/>
      <c r="D80" s="311"/>
      <c r="E80" s="311"/>
      <c r="F80" s="311"/>
      <c r="G80" s="333"/>
      <c r="H80" s="569"/>
      <c r="I80" s="345"/>
      <c r="J80" s="587"/>
      <c r="K80" s="588"/>
      <c r="L80" s="412"/>
      <c r="M80" s="308"/>
    </row>
    <row r="81" spans="1:13" ht="23.25" x14ac:dyDescent="0.35">
      <c r="A81" s="358"/>
      <c r="B81" s="414"/>
      <c r="C81" s="411"/>
      <c r="D81" s="411"/>
      <c r="E81" s="411"/>
      <c r="F81" s="411"/>
      <c r="G81" s="415"/>
      <c r="H81" s="576"/>
      <c r="I81" s="345"/>
      <c r="J81" s="587"/>
      <c r="K81" s="584"/>
      <c r="L81" s="412"/>
      <c r="M81" s="308"/>
    </row>
    <row r="82" spans="1:13" ht="26.25" x14ac:dyDescent="0.4">
      <c r="A82" s="363"/>
      <c r="B82" s="409">
        <f>ROUND(SUM(B6:B81),1)</f>
        <v>72</v>
      </c>
      <c r="C82" s="364"/>
      <c r="D82" s="364"/>
      <c r="E82" s="364"/>
      <c r="F82" s="364"/>
      <c r="G82" s="365"/>
      <c r="H82" s="364"/>
      <c r="I82" s="364"/>
      <c r="J82" s="364"/>
      <c r="K82" s="364"/>
      <c r="L82" s="366" t="s">
        <v>139</v>
      </c>
      <c r="M82" s="410">
        <f>(SUM(M6:M81))</f>
        <v>3.1305000000000005</v>
      </c>
    </row>
  </sheetData>
  <mergeCells count="20">
    <mergeCell ref="H60:K60"/>
    <mergeCell ref="I74:J74"/>
    <mergeCell ref="H14:K14"/>
    <mergeCell ref="H15:K15"/>
    <mergeCell ref="H20:K20"/>
    <mergeCell ref="H22:K22"/>
    <mergeCell ref="H27:K27"/>
    <mergeCell ref="H54:K54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0:K10"/>
    <mergeCell ref="H12:K12"/>
  </mergeCells>
  <printOptions horizontalCentered="1"/>
  <pageMargins left="0.196850393700787" right="0" top="0.55118110236220497" bottom="0.27559055118110198" header="0.196850393700787" footer="0.47244094488188998"/>
  <pageSetup paperSize="9" scale="70" orientation="landscape" r:id="rId1"/>
  <headerFooter scaleWithDoc="0">
    <oddHeader>&amp;R&amp;"TH SarabunPSK,ธรรมดา"&amp;16&amp;P</oddHeader>
  </headerFooter>
  <rowBreaks count="2" manualBreakCount="2">
    <brk id="32" max="12" man="1"/>
    <brk id="60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"/>
  <sheetViews>
    <sheetView view="pageBreakPreview" zoomScaleNormal="90" zoomScaleSheetLayoutView="100" zoomScalePageLayoutView="50" workbookViewId="0">
      <selection sqref="A1:M1"/>
    </sheetView>
  </sheetViews>
  <sheetFormatPr defaultColWidth="9.140625" defaultRowHeight="21" x14ac:dyDescent="0.35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17.140625" style="292" customWidth="1"/>
    <col min="10" max="10" width="13.1406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4" width="11.85546875" style="292" bestFit="1" customWidth="1"/>
    <col min="15" max="16384" width="9.140625" style="292"/>
  </cols>
  <sheetData>
    <row r="1" spans="1:16" ht="24" customHeight="1" x14ac:dyDescent="0.4">
      <c r="A1" s="897" t="s">
        <v>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</row>
    <row r="2" spans="1:16" ht="24" customHeight="1" x14ac:dyDescent="0.4">
      <c r="A2" s="897" t="s">
        <v>466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</row>
    <row r="3" spans="1:16" ht="24" customHeight="1" x14ac:dyDescent="0.35">
      <c r="A3" s="293" t="s">
        <v>387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198</v>
      </c>
    </row>
    <row r="4" spans="1:16" s="298" customFormat="1" ht="24" customHeight="1" x14ac:dyDescent="0.35">
      <c r="A4" s="296" t="s">
        <v>1</v>
      </c>
      <c r="B4" s="296" t="s">
        <v>2</v>
      </c>
      <c r="C4" s="899" t="s">
        <v>3</v>
      </c>
      <c r="D4" s="899"/>
      <c r="E4" s="899"/>
      <c r="F4" s="899"/>
      <c r="G4" s="899"/>
      <c r="H4" s="900" t="s">
        <v>4</v>
      </c>
      <c r="I4" s="901"/>
      <c r="J4" s="901"/>
      <c r="K4" s="902"/>
      <c r="L4" s="906" t="s">
        <v>5</v>
      </c>
      <c r="M4" s="297" t="s">
        <v>6</v>
      </c>
    </row>
    <row r="5" spans="1:16" s="298" customFormat="1" ht="24" customHeight="1" x14ac:dyDescent="0.35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903"/>
      <c r="I5" s="904"/>
      <c r="J5" s="904"/>
      <c r="K5" s="905"/>
      <c r="L5" s="906"/>
      <c r="M5" s="301" t="s">
        <v>9</v>
      </c>
    </row>
    <row r="6" spans="1:16" ht="24" customHeight="1" x14ac:dyDescent="0.35">
      <c r="A6" s="302" t="s">
        <v>159</v>
      </c>
      <c r="B6" s="391">
        <v>12</v>
      </c>
      <c r="C6" s="392">
        <v>0.6</v>
      </c>
      <c r="D6" s="393">
        <v>0.7</v>
      </c>
      <c r="E6" s="393">
        <v>0.8</v>
      </c>
      <c r="F6" s="393">
        <v>0.9</v>
      </c>
      <c r="G6" s="394">
        <v>1</v>
      </c>
      <c r="H6" s="878" t="s">
        <v>14</v>
      </c>
      <c r="I6" s="878"/>
      <c r="J6" s="879" t="s">
        <v>160</v>
      </c>
      <c r="K6" s="879"/>
      <c r="L6" s="395">
        <v>5</v>
      </c>
      <c r="M6" s="305">
        <f>IF(L6=0,"-",ROUND(L6*B6/B$99,4))</f>
        <v>0.68179999999999996</v>
      </c>
      <c r="N6" s="292">
        <v>10</v>
      </c>
      <c r="O6" s="292">
        <v>1</v>
      </c>
    </row>
    <row r="7" spans="1:16" ht="24" customHeight="1" x14ac:dyDescent="0.35">
      <c r="A7" s="309" t="s">
        <v>161</v>
      </c>
      <c r="B7" s="327"/>
      <c r="C7" s="316"/>
      <c r="D7" s="316"/>
      <c r="E7" s="316"/>
      <c r="F7" s="316"/>
      <c r="G7" s="396"/>
      <c r="H7" s="878"/>
      <c r="I7" s="878"/>
      <c r="J7" s="568" t="s">
        <v>17</v>
      </c>
      <c r="K7" s="367" t="s">
        <v>18</v>
      </c>
      <c r="L7" s="355"/>
      <c r="M7" s="308"/>
      <c r="N7" s="590">
        <f>K8*100-90</f>
        <v>10</v>
      </c>
      <c r="O7" s="292">
        <f>O6*N7/N6</f>
        <v>1</v>
      </c>
    </row>
    <row r="8" spans="1:16" ht="24" customHeight="1" x14ac:dyDescent="0.35">
      <c r="A8" s="309"/>
      <c r="B8" s="327"/>
      <c r="C8" s="318"/>
      <c r="D8" s="318"/>
      <c r="E8" s="318"/>
      <c r="F8" s="318"/>
      <c r="G8" s="397"/>
      <c r="H8" s="574" t="s">
        <v>162</v>
      </c>
      <c r="I8" s="572"/>
      <c r="J8" s="398">
        <v>61</v>
      </c>
      <c r="K8" s="591">
        <v>1</v>
      </c>
      <c r="L8" s="355"/>
      <c r="M8" s="308"/>
    </row>
    <row r="9" spans="1:16" ht="24" customHeight="1" x14ac:dyDescent="0.35">
      <c r="A9" s="309"/>
      <c r="B9" s="399"/>
      <c r="C9" s="319"/>
      <c r="D9" s="320"/>
      <c r="E9" s="320"/>
      <c r="F9" s="320"/>
      <c r="G9" s="311"/>
      <c r="H9" s="880" t="s">
        <v>163</v>
      </c>
      <c r="I9" s="881"/>
      <c r="J9" s="400"/>
      <c r="K9" s="598" t="s">
        <v>328</v>
      </c>
      <c r="L9" s="355"/>
      <c r="M9" s="308"/>
      <c r="O9" s="314"/>
      <c r="P9" s="315"/>
    </row>
    <row r="10" spans="1:16" ht="24" customHeight="1" x14ac:dyDescent="0.35">
      <c r="A10" s="309"/>
      <c r="B10" s="399"/>
      <c r="C10" s="320"/>
      <c r="D10" s="320"/>
      <c r="E10" s="320"/>
      <c r="F10" s="320"/>
      <c r="G10" s="311"/>
      <c r="H10" s="880"/>
      <c r="I10" s="881"/>
      <c r="J10" s="400"/>
      <c r="K10" s="321"/>
      <c r="L10" s="355"/>
      <c r="M10" s="308"/>
      <c r="O10" s="314"/>
      <c r="P10" s="317"/>
    </row>
    <row r="11" spans="1:16" ht="24" customHeight="1" thickBot="1" x14ac:dyDescent="0.4">
      <c r="A11" s="309"/>
      <c r="B11" s="399"/>
      <c r="C11" s="310"/>
      <c r="D11" s="310"/>
      <c r="E11" s="310"/>
      <c r="F11" s="310" t="s">
        <v>164</v>
      </c>
      <c r="G11" s="310"/>
      <c r="H11" s="888" t="s">
        <v>20</v>
      </c>
      <c r="I11" s="888"/>
      <c r="J11" s="401">
        <f>SUM(J5:J10)</f>
        <v>61</v>
      </c>
      <c r="K11" s="592" t="s">
        <v>11</v>
      </c>
      <c r="L11" s="355"/>
      <c r="M11" s="308"/>
    </row>
    <row r="12" spans="1:16" ht="24" customHeight="1" thickTop="1" x14ac:dyDescent="0.35">
      <c r="A12" s="302" t="s">
        <v>165</v>
      </c>
      <c r="B12" s="391">
        <v>12</v>
      </c>
      <c r="C12" s="593">
        <v>6197</v>
      </c>
      <c r="D12" s="313">
        <v>6375</v>
      </c>
      <c r="E12" s="313">
        <v>6555</v>
      </c>
      <c r="F12" s="313">
        <v>6734</v>
      </c>
      <c r="G12" s="313">
        <v>6912</v>
      </c>
      <c r="H12" s="909" t="s">
        <v>14</v>
      </c>
      <c r="I12" s="910"/>
      <c r="J12" s="912" t="s">
        <v>15</v>
      </c>
      <c r="K12" s="912"/>
      <c r="L12" s="304">
        <f>สพญ.!L12</f>
        <v>2.1884831460674166</v>
      </c>
      <c r="M12" s="305">
        <f>IF(L12=0,"-",ROUND(L12*B12/B$99,4))</f>
        <v>0.2984</v>
      </c>
    </row>
    <row r="13" spans="1:16" ht="24" customHeight="1" x14ac:dyDescent="0.35">
      <c r="A13" s="309" t="s">
        <v>166</v>
      </c>
      <c r="B13" s="399"/>
      <c r="C13" s="316" t="s">
        <v>38</v>
      </c>
      <c r="D13" s="316" t="s">
        <v>38</v>
      </c>
      <c r="E13" s="316" t="s">
        <v>39</v>
      </c>
      <c r="F13" s="316" t="s">
        <v>38</v>
      </c>
      <c r="G13" s="316" t="s">
        <v>38</v>
      </c>
      <c r="H13" s="911"/>
      <c r="I13" s="878"/>
      <c r="J13" s="568" t="s">
        <v>17</v>
      </c>
      <c r="K13" s="367" t="s">
        <v>18</v>
      </c>
      <c r="L13" s="307"/>
      <c r="M13" s="308"/>
    </row>
    <row r="14" spans="1:16" ht="24" customHeight="1" x14ac:dyDescent="0.35">
      <c r="A14" s="309"/>
      <c r="B14" s="399"/>
      <c r="C14" s="320"/>
      <c r="D14" s="320"/>
      <c r="E14" s="320"/>
      <c r="F14" s="320"/>
      <c r="G14" s="320"/>
      <c r="H14" s="574" t="s">
        <v>19</v>
      </c>
      <c r="I14" s="572"/>
      <c r="J14" s="398">
        <v>3800</v>
      </c>
      <c r="K14" s="491">
        <v>3800</v>
      </c>
      <c r="L14" s="307"/>
      <c r="M14" s="308"/>
    </row>
    <row r="15" spans="1:16" ht="24" customHeight="1" x14ac:dyDescent="0.35">
      <c r="A15" s="309"/>
      <c r="B15" s="399"/>
      <c r="C15" s="320"/>
      <c r="D15" s="320"/>
      <c r="E15" s="320"/>
      <c r="F15" s="320"/>
      <c r="G15" s="320"/>
      <c r="H15" s="880" t="s">
        <v>140</v>
      </c>
      <c r="I15" s="881"/>
      <c r="J15" s="400"/>
      <c r="K15" s="368"/>
      <c r="L15" s="307"/>
      <c r="M15" s="308"/>
    </row>
    <row r="16" spans="1:16" ht="24" customHeight="1" x14ac:dyDescent="0.35">
      <c r="A16" s="309"/>
      <c r="B16" s="399"/>
      <c r="C16" s="320"/>
      <c r="D16" s="320"/>
      <c r="E16" s="320"/>
      <c r="F16" s="320"/>
      <c r="G16" s="320"/>
      <c r="H16" s="880"/>
      <c r="I16" s="881"/>
      <c r="J16" s="400"/>
      <c r="K16" s="321"/>
      <c r="L16" s="307"/>
      <c r="M16" s="308"/>
    </row>
    <row r="17" spans="1:15" ht="24" customHeight="1" x14ac:dyDescent="0.35">
      <c r="A17" s="309"/>
      <c r="B17" s="399"/>
      <c r="C17" s="320"/>
      <c r="D17" s="320"/>
      <c r="E17" s="320"/>
      <c r="F17" s="320"/>
      <c r="G17" s="320"/>
      <c r="H17" s="569" t="s">
        <v>167</v>
      </c>
      <c r="I17" s="570"/>
      <c r="J17" s="400">
        <v>3500</v>
      </c>
      <c r="K17" s="427">
        <f>สพญ.!K17</f>
        <v>2608.5500000000002</v>
      </c>
      <c r="L17" s="307"/>
      <c r="M17" s="308"/>
    </row>
    <row r="18" spans="1:15" ht="24" customHeight="1" x14ac:dyDescent="0.35">
      <c r="A18" s="309"/>
      <c r="B18" s="399"/>
      <c r="C18" s="320"/>
      <c r="D18" s="320"/>
      <c r="E18" s="320"/>
      <c r="F18" s="320"/>
      <c r="G18" s="320"/>
      <c r="H18" s="880" t="s">
        <v>168</v>
      </c>
      <c r="I18" s="881"/>
      <c r="J18" s="400"/>
      <c r="K18" s="321"/>
      <c r="L18" s="307"/>
      <c r="M18" s="308"/>
    </row>
    <row r="19" spans="1:15" ht="24" customHeight="1" x14ac:dyDescent="0.35">
      <c r="A19" s="309"/>
      <c r="B19" s="399"/>
      <c r="C19" s="320"/>
      <c r="D19" s="320"/>
      <c r="E19" s="320"/>
      <c r="F19" s="320"/>
      <c r="G19" s="320"/>
      <c r="H19" s="889"/>
      <c r="I19" s="890"/>
      <c r="J19" s="400"/>
      <c r="K19" s="321"/>
      <c r="L19" s="307"/>
      <c r="M19" s="308"/>
    </row>
    <row r="20" spans="1:15" ht="24" customHeight="1" thickBot="1" x14ac:dyDescent="0.4">
      <c r="A20" s="309"/>
      <c r="B20" s="399"/>
      <c r="C20" s="320"/>
      <c r="D20" s="320"/>
      <c r="E20" s="320"/>
      <c r="F20" s="320"/>
      <c r="G20" s="320"/>
      <c r="H20" s="888" t="s">
        <v>20</v>
      </c>
      <c r="I20" s="888"/>
      <c r="J20" s="401">
        <f>SUM(J14:J19)</f>
        <v>7300</v>
      </c>
      <c r="K20" s="428">
        <f>K17+K14</f>
        <v>6408.55</v>
      </c>
      <c r="L20" s="307"/>
      <c r="M20" s="308"/>
    </row>
    <row r="21" spans="1:15" ht="24" customHeight="1" thickTop="1" x14ac:dyDescent="0.35">
      <c r="A21" s="302" t="s">
        <v>169</v>
      </c>
      <c r="B21" s="391">
        <v>4</v>
      </c>
      <c r="C21" s="303">
        <v>0.65</v>
      </c>
      <c r="D21" s="303">
        <v>0.7</v>
      </c>
      <c r="E21" s="303">
        <v>0.75</v>
      </c>
      <c r="F21" s="303">
        <v>0.8</v>
      </c>
      <c r="G21" s="303">
        <v>0.85</v>
      </c>
      <c r="H21" s="894" t="s">
        <v>141</v>
      </c>
      <c r="I21" s="895"/>
      <c r="J21" s="895"/>
      <c r="K21" s="896"/>
      <c r="L21" s="304">
        <f>สพญ.!L21</f>
        <v>4.8019259259259259</v>
      </c>
      <c r="M21" s="305">
        <f>IF(L21=0,"-",ROUND(L21*B21/B$99,4))</f>
        <v>0.21829999999999999</v>
      </c>
    </row>
    <row r="22" spans="1:15" ht="24" customHeight="1" x14ac:dyDescent="0.35">
      <c r="A22" s="309" t="s">
        <v>44</v>
      </c>
      <c r="B22" s="399"/>
      <c r="C22" s="320"/>
      <c r="D22" s="320"/>
      <c r="E22" s="320"/>
      <c r="F22" s="320"/>
      <c r="G22" s="320"/>
      <c r="H22" s="880" t="s">
        <v>142</v>
      </c>
      <c r="I22" s="887"/>
      <c r="J22" s="887"/>
      <c r="K22" s="881"/>
      <c r="L22" s="307"/>
      <c r="M22" s="308"/>
    </row>
    <row r="23" spans="1:15" ht="24" customHeight="1" x14ac:dyDescent="0.35">
      <c r="A23" s="309"/>
      <c r="B23" s="399"/>
      <c r="C23" s="320"/>
      <c r="D23" s="320"/>
      <c r="E23" s="320"/>
      <c r="F23" s="320"/>
      <c r="G23" s="320"/>
      <c r="H23" s="880" t="s">
        <v>143</v>
      </c>
      <c r="I23" s="887"/>
      <c r="J23" s="887"/>
      <c r="K23" s="881"/>
      <c r="L23" s="307"/>
      <c r="M23" s="308"/>
    </row>
    <row r="24" spans="1:15" ht="24" customHeight="1" x14ac:dyDescent="0.35">
      <c r="A24" s="309"/>
      <c r="B24" s="399"/>
      <c r="C24" s="320"/>
      <c r="D24" s="320"/>
      <c r="E24" s="320"/>
      <c r="F24" s="320"/>
      <c r="G24" s="320"/>
      <c r="H24" s="880" t="s">
        <v>144</v>
      </c>
      <c r="I24" s="887"/>
      <c r="J24" s="887"/>
      <c r="K24" s="881"/>
      <c r="L24" s="307"/>
      <c r="M24" s="308"/>
    </row>
    <row r="25" spans="1:15" ht="24" customHeight="1" x14ac:dyDescent="0.35">
      <c r="A25" s="309"/>
      <c r="B25" s="399"/>
      <c r="C25" s="320"/>
      <c r="D25" s="320"/>
      <c r="E25" s="320"/>
      <c r="F25" s="320"/>
      <c r="G25" s="320"/>
      <c r="H25" s="880" t="s">
        <v>170</v>
      </c>
      <c r="I25" s="887"/>
      <c r="J25" s="887"/>
      <c r="K25" s="881"/>
      <c r="L25" s="307"/>
      <c r="M25" s="308"/>
    </row>
    <row r="26" spans="1:15" ht="24" customHeight="1" x14ac:dyDescent="0.35">
      <c r="A26" s="309"/>
      <c r="B26" s="399"/>
      <c r="C26" s="320"/>
      <c r="D26" s="320"/>
      <c r="E26" s="320"/>
      <c r="F26" s="320"/>
      <c r="G26" s="320"/>
      <c r="I26" s="323" t="s">
        <v>54</v>
      </c>
      <c r="J26" s="324">
        <f>สพญ.!J26</f>
        <v>84.009629629629629</v>
      </c>
      <c r="K26" s="570" t="s">
        <v>51</v>
      </c>
      <c r="L26" s="307"/>
      <c r="M26" s="308"/>
    </row>
    <row r="27" spans="1:15" ht="24" customHeight="1" x14ac:dyDescent="0.35">
      <c r="A27" s="325"/>
      <c r="B27" s="402"/>
      <c r="C27" s="310"/>
      <c r="D27" s="310"/>
      <c r="E27" s="310"/>
      <c r="F27" s="310"/>
      <c r="G27" s="310"/>
      <c r="H27" s="891" t="s">
        <v>316</v>
      </c>
      <c r="I27" s="892"/>
      <c r="J27" s="892"/>
      <c r="K27" s="893"/>
      <c r="L27" s="326"/>
      <c r="M27" s="299"/>
    </row>
    <row r="28" spans="1:15" ht="24" customHeight="1" x14ac:dyDescent="0.35">
      <c r="A28" s="302" t="s">
        <v>53</v>
      </c>
      <c r="B28" s="403">
        <v>12</v>
      </c>
      <c r="C28" s="303">
        <v>0.6</v>
      </c>
      <c r="D28" s="303">
        <v>0.7</v>
      </c>
      <c r="E28" s="303">
        <v>0.8</v>
      </c>
      <c r="F28" s="303">
        <v>0.9</v>
      </c>
      <c r="G28" s="303">
        <v>1</v>
      </c>
      <c r="H28" s="895" t="s">
        <v>171</v>
      </c>
      <c r="I28" s="895"/>
      <c r="J28" s="895"/>
      <c r="K28" s="896"/>
      <c r="L28" s="304">
        <f>2+O30</f>
        <v>2.905574760639118</v>
      </c>
      <c r="M28" s="305">
        <f>IF(L28=0,"-",ROUND(L28*B28/B$99,4))</f>
        <v>0.3962</v>
      </c>
      <c r="N28" s="425" t="s">
        <v>199</v>
      </c>
    </row>
    <row r="29" spans="1:15" ht="24" customHeight="1" x14ac:dyDescent="0.35">
      <c r="A29" s="309" t="s">
        <v>21</v>
      </c>
      <c r="B29" s="352"/>
      <c r="C29" s="320"/>
      <c r="D29" s="320"/>
      <c r="E29" s="320"/>
      <c r="F29" s="320"/>
      <c r="G29" s="320"/>
      <c r="H29" s="880" t="s">
        <v>83</v>
      </c>
      <c r="I29" s="887"/>
      <c r="J29" s="887"/>
      <c r="K29" s="881"/>
      <c r="L29" s="307"/>
      <c r="M29" s="308"/>
      <c r="N29" s="292">
        <v>10</v>
      </c>
      <c r="O29" s="292">
        <v>1</v>
      </c>
    </row>
    <row r="30" spans="1:15" ht="24" customHeight="1" x14ac:dyDescent="0.35">
      <c r="A30" s="309"/>
      <c r="B30" s="352"/>
      <c r="C30" s="320"/>
      <c r="D30" s="320"/>
      <c r="E30" s="320"/>
      <c r="F30" s="320"/>
      <c r="G30" s="320"/>
      <c r="H30" s="880" t="s">
        <v>172</v>
      </c>
      <c r="I30" s="887"/>
      <c r="J30" s="887"/>
      <c r="K30" s="881"/>
      <c r="L30" s="307"/>
      <c r="M30" s="308"/>
      <c r="N30" s="540">
        <f>J33-70</f>
        <v>9.0557476063911793</v>
      </c>
      <c r="O30" s="594">
        <f>O29*N30/N29</f>
        <v>0.9055747606391179</v>
      </c>
    </row>
    <row r="31" spans="1:15" ht="24" customHeight="1" x14ac:dyDescent="0.35">
      <c r="A31" s="309"/>
      <c r="B31" s="352"/>
      <c r="C31" s="320"/>
      <c r="D31" s="320"/>
      <c r="E31" s="320"/>
      <c r="F31" s="320"/>
      <c r="G31" s="320"/>
      <c r="H31" s="380" t="s">
        <v>173</v>
      </c>
      <c r="I31" s="323"/>
      <c r="J31" s="328"/>
      <c r="K31" s="570"/>
      <c r="L31" s="307"/>
      <c r="M31" s="308"/>
    </row>
    <row r="32" spans="1:15" ht="24" customHeight="1" x14ac:dyDescent="0.35">
      <c r="A32" s="309"/>
      <c r="B32" s="352"/>
      <c r="C32" s="320"/>
      <c r="D32" s="320"/>
      <c r="E32" s="320"/>
      <c r="F32" s="320"/>
      <c r="G32" s="320"/>
      <c r="H32" s="380"/>
      <c r="I32" s="323"/>
      <c r="J32" s="328"/>
      <c r="K32" s="570"/>
      <c r="L32" s="307"/>
      <c r="M32" s="308"/>
    </row>
    <row r="33" spans="1:15" ht="24" customHeight="1" x14ac:dyDescent="0.35">
      <c r="A33" s="309"/>
      <c r="B33" s="352"/>
      <c r="C33" s="320"/>
      <c r="D33" s="320"/>
      <c r="E33" s="320"/>
      <c r="F33" s="320"/>
      <c r="G33" s="320"/>
      <c r="H33" s="380"/>
      <c r="I33" s="323" t="s">
        <v>174</v>
      </c>
      <c r="J33" s="614">
        <f>สพญ.!J33</f>
        <v>79.055747606391179</v>
      </c>
      <c r="K33" s="570" t="s">
        <v>51</v>
      </c>
      <c r="L33" s="307"/>
      <c r="M33" s="308"/>
    </row>
    <row r="34" spans="1:15" ht="24" customHeight="1" x14ac:dyDescent="0.35">
      <c r="A34" s="325"/>
      <c r="B34" s="359"/>
      <c r="C34" s="310"/>
      <c r="D34" s="310"/>
      <c r="E34" s="310"/>
      <c r="F34" s="310"/>
      <c r="G34" s="310"/>
      <c r="H34" s="329"/>
      <c r="I34" s="330"/>
      <c r="J34" s="404"/>
      <c r="K34" s="331"/>
      <c r="L34" s="326"/>
      <c r="M34" s="299"/>
    </row>
    <row r="35" spans="1:15" ht="24" customHeight="1" x14ac:dyDescent="0.35">
      <c r="A35" s="302" t="s">
        <v>175</v>
      </c>
      <c r="B35" s="403">
        <v>12</v>
      </c>
      <c r="C35" s="303">
        <v>0.6</v>
      </c>
      <c r="D35" s="303">
        <v>0.7</v>
      </c>
      <c r="E35" s="303">
        <v>0.8</v>
      </c>
      <c r="F35" s="303">
        <v>0.9</v>
      </c>
      <c r="G35" s="303">
        <v>1</v>
      </c>
      <c r="H35" s="895" t="s">
        <v>176</v>
      </c>
      <c r="I35" s="895"/>
      <c r="J35" s="895"/>
      <c r="K35" s="896"/>
      <c r="L35" s="304">
        <f>3+O36</f>
        <v>3.1917203355868424</v>
      </c>
      <c r="M35" s="305">
        <f>IF(L35=0,"-",ROUND(L35*B35/B$99,4))</f>
        <v>0.43519999999999998</v>
      </c>
      <c r="N35" s="292">
        <v>10</v>
      </c>
      <c r="O35" s="292">
        <v>1</v>
      </c>
    </row>
    <row r="36" spans="1:15" ht="24" customHeight="1" x14ac:dyDescent="0.35">
      <c r="A36" s="309" t="s">
        <v>177</v>
      </c>
      <c r="B36" s="352"/>
      <c r="C36" s="320"/>
      <c r="D36" s="320"/>
      <c r="E36" s="320"/>
      <c r="F36" s="320"/>
      <c r="G36" s="320"/>
      <c r="H36" s="405" t="s">
        <v>178</v>
      </c>
      <c r="L36" s="307"/>
      <c r="M36" s="308"/>
      <c r="N36" s="540">
        <f>J40-80</f>
        <v>1.9172033558684234</v>
      </c>
      <c r="O36" s="540">
        <f>N36*O35/N35</f>
        <v>0.19172033558684234</v>
      </c>
    </row>
    <row r="37" spans="1:15" ht="24" customHeight="1" x14ac:dyDescent="0.35">
      <c r="A37" s="309"/>
      <c r="B37" s="352"/>
      <c r="C37" s="320"/>
      <c r="D37" s="320"/>
      <c r="E37" s="320"/>
      <c r="F37" s="320"/>
      <c r="G37" s="320"/>
      <c r="H37" s="880" t="s">
        <v>83</v>
      </c>
      <c r="I37" s="887"/>
      <c r="J37" s="887"/>
      <c r="K37" s="881"/>
      <c r="L37" s="307"/>
      <c r="M37" s="308"/>
    </row>
    <row r="38" spans="1:15" ht="24" customHeight="1" x14ac:dyDescent="0.35">
      <c r="A38" s="309"/>
      <c r="B38" s="352"/>
      <c r="C38" s="320"/>
      <c r="D38" s="320"/>
      <c r="E38" s="320"/>
      <c r="F38" s="320"/>
      <c r="G38" s="320"/>
      <c r="H38" s="569" t="s">
        <v>172</v>
      </c>
      <c r="I38" s="573"/>
      <c r="J38" s="573"/>
      <c r="K38" s="570"/>
      <c r="L38" s="307"/>
      <c r="M38" s="308"/>
    </row>
    <row r="39" spans="1:15" ht="24" customHeight="1" x14ac:dyDescent="0.35">
      <c r="A39" s="309"/>
      <c r="B39" s="352"/>
      <c r="C39" s="320"/>
      <c r="D39" s="320"/>
      <c r="E39" s="320"/>
      <c r="F39" s="320"/>
      <c r="G39" s="320"/>
      <c r="H39" s="380" t="s">
        <v>173</v>
      </c>
      <c r="I39" s="323"/>
      <c r="J39" s="328"/>
      <c r="K39" s="570"/>
      <c r="L39" s="307"/>
      <c r="M39" s="308"/>
    </row>
    <row r="40" spans="1:15" ht="24" customHeight="1" x14ac:dyDescent="0.35">
      <c r="A40" s="309"/>
      <c r="B40" s="352"/>
      <c r="C40" s="320"/>
      <c r="D40" s="320"/>
      <c r="E40" s="320"/>
      <c r="F40" s="320"/>
      <c r="G40" s="320"/>
      <c r="H40" s="380"/>
      <c r="I40" s="323" t="s">
        <v>174</v>
      </c>
      <c r="J40" s="328">
        <f>สพญ.!J40</f>
        <v>81.917203355868423</v>
      </c>
      <c r="K40" s="570" t="s">
        <v>51</v>
      </c>
      <c r="L40" s="307"/>
      <c r="M40" s="308"/>
    </row>
    <row r="41" spans="1:15" ht="24" customHeight="1" x14ac:dyDescent="0.35">
      <c r="A41" s="325"/>
      <c r="B41" s="359"/>
      <c r="C41" s="310"/>
      <c r="D41" s="310"/>
      <c r="E41" s="310"/>
      <c r="F41" s="310"/>
      <c r="G41" s="310"/>
      <c r="H41" s="329"/>
      <c r="I41" s="330"/>
      <c r="J41" s="404"/>
      <c r="K41" s="331"/>
      <c r="L41" s="326"/>
      <c r="M41" s="299"/>
    </row>
    <row r="42" spans="1:15" ht="24" customHeight="1" x14ac:dyDescent="0.35">
      <c r="A42" s="302" t="s">
        <v>179</v>
      </c>
      <c r="B42" s="403">
        <v>4</v>
      </c>
      <c r="C42" s="332">
        <v>0.5</v>
      </c>
      <c r="D42" s="332">
        <v>0.75</v>
      </c>
      <c r="E42" s="332">
        <v>1</v>
      </c>
      <c r="F42" s="332">
        <v>1</v>
      </c>
      <c r="G42" s="332">
        <v>1</v>
      </c>
      <c r="H42" s="894" t="s">
        <v>57</v>
      </c>
      <c r="I42" s="895"/>
      <c r="J42" s="895"/>
      <c r="K42" s="896"/>
      <c r="L42" s="304">
        <f>สพญ.!L42</f>
        <v>2.3209947789473682</v>
      </c>
      <c r="M42" s="305">
        <f>IF(L42=0,"-",ROUND(L42*B42/B$99,4))</f>
        <v>0.1055</v>
      </c>
      <c r="N42" s="425" t="s">
        <v>199</v>
      </c>
    </row>
    <row r="43" spans="1:15" ht="24" customHeight="1" x14ac:dyDescent="0.35">
      <c r="A43" s="309" t="s">
        <v>23</v>
      </c>
      <c r="B43" s="352"/>
      <c r="C43" s="320"/>
      <c r="D43" s="320"/>
      <c r="E43" s="320"/>
      <c r="F43" s="335" t="s">
        <v>70</v>
      </c>
      <c r="G43" s="335" t="s">
        <v>70</v>
      </c>
      <c r="H43" s="569" t="s">
        <v>58</v>
      </c>
      <c r="I43" s="573"/>
      <c r="J43" s="573"/>
      <c r="K43" s="570"/>
      <c r="L43" s="307"/>
      <c r="M43" s="308"/>
    </row>
    <row r="44" spans="1:15" ht="24" customHeight="1" x14ac:dyDescent="0.35">
      <c r="A44" s="309" t="s">
        <v>24</v>
      </c>
      <c r="B44" s="352"/>
      <c r="C44" s="320"/>
      <c r="D44" s="320"/>
      <c r="E44" s="320"/>
      <c r="F44" s="335" t="s">
        <v>137</v>
      </c>
      <c r="G44" s="335" t="s">
        <v>138</v>
      </c>
      <c r="H44" s="569" t="s">
        <v>147</v>
      </c>
      <c r="I44" s="573"/>
      <c r="J44" s="573"/>
      <c r="K44" s="570"/>
      <c r="L44" s="307"/>
      <c r="M44" s="308"/>
    </row>
    <row r="45" spans="1:15" ht="24" customHeight="1" x14ac:dyDescent="0.35">
      <c r="A45" s="309"/>
      <c r="B45" s="352"/>
      <c r="C45" s="320"/>
      <c r="D45" s="320"/>
      <c r="E45" s="320"/>
      <c r="F45" s="320"/>
      <c r="G45" s="320"/>
      <c r="H45" s="569" t="s">
        <v>180</v>
      </c>
      <c r="I45" s="573"/>
      <c r="J45" s="573"/>
      <c r="K45" s="570"/>
      <c r="L45" s="307"/>
      <c r="M45" s="308"/>
    </row>
    <row r="46" spans="1:15" ht="24" customHeight="1" x14ac:dyDescent="0.35">
      <c r="A46" s="309"/>
      <c r="B46" s="352"/>
      <c r="C46" s="320"/>
      <c r="D46" s="320"/>
      <c r="E46" s="320"/>
      <c r="F46" s="320"/>
      <c r="G46" s="311"/>
      <c r="H46" s="569"/>
      <c r="I46" s="323" t="s">
        <v>56</v>
      </c>
      <c r="J46" s="324">
        <f>สพญ.!J46</f>
        <v>83.024869473684205</v>
      </c>
      <c r="K46" s="570" t="s">
        <v>51</v>
      </c>
      <c r="L46" s="307"/>
      <c r="M46" s="308"/>
    </row>
    <row r="47" spans="1:15" ht="24" customHeight="1" x14ac:dyDescent="0.35">
      <c r="A47" s="309"/>
      <c r="B47" s="352"/>
      <c r="C47" s="320"/>
      <c r="D47" s="320"/>
      <c r="E47" s="320"/>
      <c r="F47" s="320"/>
      <c r="G47" s="320"/>
      <c r="H47" s="333"/>
      <c r="I47" s="306"/>
      <c r="J47" s="306"/>
      <c r="K47" s="312"/>
      <c r="L47" s="307"/>
      <c r="M47" s="308"/>
    </row>
    <row r="48" spans="1:15" ht="24" customHeight="1" x14ac:dyDescent="0.35">
      <c r="A48" s="302" t="s">
        <v>181</v>
      </c>
      <c r="B48" s="403">
        <v>4</v>
      </c>
      <c r="C48" s="332">
        <v>0.96</v>
      </c>
      <c r="D48" s="332">
        <v>0.97</v>
      </c>
      <c r="E48" s="332">
        <v>0.98</v>
      </c>
      <c r="F48" s="332">
        <v>0.99</v>
      </c>
      <c r="G48" s="332">
        <v>1</v>
      </c>
      <c r="H48" s="574" t="s">
        <v>148</v>
      </c>
      <c r="I48" s="571"/>
      <c r="J48" s="571"/>
      <c r="K48" s="572"/>
      <c r="L48" s="304">
        <f>3+O50</f>
        <v>3.2479948046742777</v>
      </c>
      <c r="M48" s="305">
        <f>IF(L48=0,"-",ROUND(L48*B48/B$99,4))</f>
        <v>0.14760000000000001</v>
      </c>
      <c r="N48" s="425" t="s">
        <v>200</v>
      </c>
    </row>
    <row r="49" spans="1:15" ht="24" customHeight="1" x14ac:dyDescent="0.35">
      <c r="A49" s="309" t="s">
        <v>26</v>
      </c>
      <c r="B49" s="352"/>
      <c r="C49" s="320"/>
      <c r="D49" s="320"/>
      <c r="E49" s="320"/>
      <c r="F49" s="320"/>
      <c r="G49" s="320"/>
      <c r="H49" s="380" t="s">
        <v>149</v>
      </c>
      <c r="I49" s="381"/>
      <c r="J49" s="381"/>
      <c r="K49" s="382"/>
      <c r="L49" s="307"/>
      <c r="M49" s="308"/>
      <c r="N49" s="292">
        <v>1</v>
      </c>
      <c r="O49" s="292">
        <v>1</v>
      </c>
    </row>
    <row r="50" spans="1:15" ht="24" customHeight="1" x14ac:dyDescent="0.35">
      <c r="A50" s="309"/>
      <c r="B50" s="352"/>
      <c r="C50" s="320"/>
      <c r="D50" s="320"/>
      <c r="E50" s="320"/>
      <c r="F50" s="320"/>
      <c r="G50" s="320"/>
      <c r="H50" s="380" t="s">
        <v>75</v>
      </c>
      <c r="I50" s="381"/>
      <c r="J50" s="381"/>
      <c r="K50" s="382"/>
      <c r="L50" s="307"/>
      <c r="M50" s="308"/>
      <c r="N50" s="542">
        <f>J52-98</f>
        <v>0.2479948046742777</v>
      </c>
      <c r="O50" s="292">
        <f>O49*N50/N49</f>
        <v>0.2479948046742777</v>
      </c>
    </row>
    <row r="51" spans="1:15" ht="24" customHeight="1" x14ac:dyDescent="0.35">
      <c r="A51" s="309"/>
      <c r="B51" s="352"/>
      <c r="C51" s="320"/>
      <c r="D51" s="320"/>
      <c r="E51" s="320"/>
      <c r="F51" s="320"/>
      <c r="G51" s="320"/>
      <c r="H51" s="380" t="s">
        <v>182</v>
      </c>
      <c r="I51" s="383"/>
      <c r="J51" s="383"/>
      <c r="K51" s="384"/>
      <c r="L51" s="307"/>
      <c r="M51" s="308"/>
    </row>
    <row r="52" spans="1:15" ht="24" customHeight="1" x14ac:dyDescent="0.35">
      <c r="A52" s="309"/>
      <c r="B52" s="352"/>
      <c r="C52" s="320"/>
      <c r="D52" s="320"/>
      <c r="E52" s="320"/>
      <c r="F52" s="320"/>
      <c r="G52" s="311"/>
      <c r="H52" s="569"/>
      <c r="I52" s="323" t="s">
        <v>56</v>
      </c>
      <c r="J52" s="324">
        <f>สพญ.!J52</f>
        <v>98.247994804674278</v>
      </c>
      <c r="K52" s="570" t="s">
        <v>51</v>
      </c>
      <c r="L52" s="307"/>
      <c r="M52" s="308"/>
    </row>
    <row r="53" spans="1:15" ht="24" customHeight="1" x14ac:dyDescent="0.35">
      <c r="A53" s="325"/>
      <c r="B53" s="359"/>
      <c r="C53" s="310"/>
      <c r="D53" s="310"/>
      <c r="E53" s="310"/>
      <c r="F53" s="310"/>
      <c r="G53" s="310"/>
      <c r="H53" s="329"/>
      <c r="I53" s="423"/>
      <c r="J53" s="423"/>
      <c r="K53" s="424"/>
      <c r="L53" s="326"/>
      <c r="M53" s="299"/>
    </row>
    <row r="54" spans="1:15" ht="24" customHeight="1" x14ac:dyDescent="0.35">
      <c r="A54" s="302" t="s">
        <v>183</v>
      </c>
      <c r="B54" s="403">
        <v>4</v>
      </c>
      <c r="C54" s="332">
        <v>0.8</v>
      </c>
      <c r="D54" s="332">
        <v>0.85</v>
      </c>
      <c r="E54" s="332">
        <v>0.9</v>
      </c>
      <c r="F54" s="332">
        <v>0.95</v>
      </c>
      <c r="G54" s="332">
        <v>1</v>
      </c>
      <c r="H54" s="386" t="s">
        <v>150</v>
      </c>
      <c r="I54" s="387"/>
      <c r="J54" s="387"/>
      <c r="K54" s="388"/>
      <c r="L54" s="304">
        <f>สพญ.!L54</f>
        <v>3.4905660377358485</v>
      </c>
      <c r="M54" s="305">
        <f>IF(L54=0,"-",ROUND(L54*B54/B$99,4))</f>
        <v>0.15870000000000001</v>
      </c>
      <c r="N54" s="425" t="s">
        <v>201</v>
      </c>
    </row>
    <row r="55" spans="1:15" ht="24" customHeight="1" x14ac:dyDescent="0.35">
      <c r="A55" s="309" t="s">
        <v>28</v>
      </c>
      <c r="B55" s="352"/>
      <c r="C55" s="320"/>
      <c r="D55" s="320"/>
      <c r="E55" s="320"/>
      <c r="F55" s="320"/>
      <c r="G55" s="320"/>
      <c r="H55" s="569" t="s">
        <v>154</v>
      </c>
      <c r="I55" s="573"/>
      <c r="J55" s="573"/>
      <c r="K55" s="570"/>
      <c r="L55" s="307"/>
      <c r="M55" s="308"/>
    </row>
    <row r="56" spans="1:15" ht="24" customHeight="1" x14ac:dyDescent="0.35">
      <c r="A56" s="309" t="s">
        <v>60</v>
      </c>
      <c r="B56" s="352"/>
      <c r="C56" s="320"/>
      <c r="D56" s="320"/>
      <c r="E56" s="320"/>
      <c r="F56" s="320"/>
      <c r="G56" s="320"/>
      <c r="H56" s="569" t="s">
        <v>64</v>
      </c>
      <c r="I56" s="573"/>
      <c r="J56" s="573"/>
      <c r="K56" s="570"/>
      <c r="L56" s="307"/>
      <c r="M56" s="308"/>
    </row>
    <row r="57" spans="1:15" ht="24" customHeight="1" x14ac:dyDescent="0.35">
      <c r="A57" s="309"/>
      <c r="B57" s="352"/>
      <c r="C57" s="320"/>
      <c r="D57" s="320"/>
      <c r="E57" s="320"/>
      <c r="F57" s="320"/>
      <c r="G57" s="320"/>
      <c r="H57" s="380" t="s">
        <v>180</v>
      </c>
      <c r="I57" s="323"/>
      <c r="J57" s="322"/>
      <c r="K57" s="382"/>
      <c r="L57" s="307"/>
      <c r="M57" s="308"/>
    </row>
    <row r="58" spans="1:15" ht="24" customHeight="1" x14ac:dyDescent="0.35">
      <c r="A58" s="309"/>
      <c r="B58" s="352"/>
      <c r="C58" s="320"/>
      <c r="D58" s="320"/>
      <c r="E58" s="320"/>
      <c r="F58" s="320"/>
      <c r="G58" s="320"/>
      <c r="H58" s="380"/>
      <c r="I58" s="323" t="s">
        <v>66</v>
      </c>
      <c r="J58" s="334">
        <f>สพญ.!J58</f>
        <v>53</v>
      </c>
      <c r="K58" s="382" t="s">
        <v>61</v>
      </c>
      <c r="L58" s="307"/>
      <c r="M58" s="308"/>
    </row>
    <row r="59" spans="1:15" ht="24" customHeight="1" x14ac:dyDescent="0.35">
      <c r="A59" s="309"/>
      <c r="B59" s="352"/>
      <c r="C59" s="320"/>
      <c r="D59" s="320"/>
      <c r="E59" s="320"/>
      <c r="F59" s="320"/>
      <c r="G59" s="320"/>
      <c r="H59" s="380"/>
      <c r="I59" s="323" t="s">
        <v>67</v>
      </c>
      <c r="J59" s="334">
        <f>สพญ.!J59</f>
        <v>49</v>
      </c>
      <c r="K59" s="382" t="s">
        <v>61</v>
      </c>
      <c r="L59" s="307"/>
      <c r="M59" s="308"/>
    </row>
    <row r="60" spans="1:15" ht="24" customHeight="1" x14ac:dyDescent="0.35">
      <c r="A60" s="309"/>
      <c r="B60" s="352"/>
      <c r="C60" s="320"/>
      <c r="D60" s="320"/>
      <c r="E60" s="320"/>
      <c r="F60" s="320"/>
      <c r="G60" s="320"/>
      <c r="H60" s="569"/>
      <c r="I60" s="323" t="s">
        <v>81</v>
      </c>
      <c r="J60" s="516">
        <f>J59*100/J58</f>
        <v>92.452830188679243</v>
      </c>
      <c r="K60" s="570" t="s">
        <v>51</v>
      </c>
      <c r="L60" s="307"/>
      <c r="M60" s="308"/>
    </row>
    <row r="61" spans="1:15" ht="24" customHeight="1" x14ac:dyDescent="0.35">
      <c r="A61" s="325"/>
      <c r="B61" s="359"/>
      <c r="C61" s="310"/>
      <c r="D61" s="310"/>
      <c r="E61" s="310"/>
      <c r="F61" s="310"/>
      <c r="G61" s="310"/>
      <c r="H61" s="565"/>
      <c r="I61" s="423"/>
      <c r="J61" s="423"/>
      <c r="K61" s="424"/>
      <c r="L61" s="326"/>
      <c r="M61" s="299"/>
    </row>
    <row r="62" spans="1:15" ht="24" customHeight="1" x14ac:dyDescent="0.35">
      <c r="A62" s="302" t="s">
        <v>184</v>
      </c>
      <c r="B62" s="403">
        <v>4</v>
      </c>
      <c r="C62" s="332">
        <v>0.5</v>
      </c>
      <c r="D62" s="332">
        <v>0.75</v>
      </c>
      <c r="E62" s="332">
        <v>1</v>
      </c>
      <c r="F62" s="332">
        <v>1</v>
      </c>
      <c r="G62" s="332">
        <v>1</v>
      </c>
      <c r="H62" s="574" t="s">
        <v>152</v>
      </c>
      <c r="I62" s="571"/>
      <c r="J62" s="571"/>
      <c r="K62" s="572"/>
      <c r="L62" s="304">
        <v>3</v>
      </c>
      <c r="M62" s="305">
        <f>IF(L62=0,"-",ROUND(L62*B62/B$99,4))</f>
        <v>0.13639999999999999</v>
      </c>
    </row>
    <row r="63" spans="1:15" ht="24" customHeight="1" x14ac:dyDescent="0.35">
      <c r="A63" s="309" t="s">
        <v>151</v>
      </c>
      <c r="B63" s="406"/>
      <c r="C63" s="335"/>
      <c r="D63" s="335"/>
      <c r="E63" s="335"/>
      <c r="F63" s="335" t="s">
        <v>70</v>
      </c>
      <c r="G63" s="335" t="s">
        <v>70</v>
      </c>
      <c r="H63" s="573" t="s">
        <v>153</v>
      </c>
      <c r="I63" s="573"/>
      <c r="J63" s="573"/>
      <c r="K63" s="570"/>
      <c r="L63" s="307"/>
      <c r="M63" s="308"/>
    </row>
    <row r="64" spans="1:15" ht="24" customHeight="1" x14ac:dyDescent="0.35">
      <c r="A64" s="309"/>
      <c r="B64" s="406"/>
      <c r="C64" s="335"/>
      <c r="D64" s="335"/>
      <c r="E64" s="335"/>
      <c r="F64" s="335" t="s">
        <v>137</v>
      </c>
      <c r="G64" s="335" t="s">
        <v>138</v>
      </c>
      <c r="H64" s="573" t="s">
        <v>180</v>
      </c>
      <c r="I64" s="573"/>
      <c r="J64" s="573"/>
      <c r="K64" s="570"/>
      <c r="L64" s="307"/>
      <c r="M64" s="308"/>
    </row>
    <row r="65" spans="1:32" ht="24" customHeight="1" x14ac:dyDescent="0.35">
      <c r="A65" s="309"/>
      <c r="B65" s="406"/>
      <c r="C65" s="336"/>
      <c r="D65" s="336"/>
      <c r="E65" s="336"/>
      <c r="F65" s="336"/>
      <c r="G65" s="390"/>
      <c r="H65" s="569"/>
      <c r="I65" s="323" t="s">
        <v>56</v>
      </c>
      <c r="J65" s="324">
        <v>100</v>
      </c>
      <c r="K65" s="570" t="s">
        <v>51</v>
      </c>
      <c r="L65" s="307"/>
      <c r="M65" s="308"/>
    </row>
    <row r="66" spans="1:32" ht="24" customHeight="1" x14ac:dyDescent="0.35">
      <c r="A66" s="325"/>
      <c r="B66" s="359"/>
      <c r="C66" s="310"/>
      <c r="D66" s="310"/>
      <c r="E66" s="310"/>
      <c r="F66" s="310"/>
      <c r="G66" s="310"/>
      <c r="H66" s="565"/>
      <c r="I66" s="566"/>
      <c r="J66" s="566"/>
      <c r="K66" s="567"/>
      <c r="L66" s="326"/>
      <c r="M66" s="299"/>
    </row>
    <row r="67" spans="1:32" ht="24" customHeight="1" x14ac:dyDescent="0.35">
      <c r="A67" s="339" t="s">
        <v>190</v>
      </c>
      <c r="B67" s="407">
        <v>4</v>
      </c>
      <c r="C67" s="340">
        <v>0.65</v>
      </c>
      <c r="D67" s="340">
        <v>0.7</v>
      </c>
      <c r="E67" s="340">
        <v>0.75</v>
      </c>
      <c r="F67" s="340">
        <v>0.8</v>
      </c>
      <c r="G67" s="340">
        <v>0.85</v>
      </c>
      <c r="H67" s="574" t="s">
        <v>156</v>
      </c>
      <c r="I67" s="571"/>
      <c r="J67" s="571"/>
      <c r="K67" s="572"/>
      <c r="L67" s="304">
        <v>1</v>
      </c>
      <c r="M67" s="305">
        <f>IF(L67=0,"-",ROUND(L67*B67/B$99,4))</f>
        <v>4.5499999999999999E-2</v>
      </c>
    </row>
    <row r="68" spans="1:32" ht="24" customHeight="1" x14ac:dyDescent="0.35">
      <c r="A68" s="309" t="s">
        <v>145</v>
      </c>
      <c r="B68" s="352"/>
      <c r="C68" s="320"/>
      <c r="D68" s="320"/>
      <c r="E68" s="320"/>
      <c r="F68" s="320"/>
      <c r="G68" s="320"/>
      <c r="H68" s="569" t="s">
        <v>104</v>
      </c>
      <c r="I68" s="573"/>
      <c r="J68" s="573"/>
      <c r="K68" s="570"/>
      <c r="L68" s="307"/>
      <c r="M68" s="308"/>
    </row>
    <row r="69" spans="1:32" ht="24" customHeight="1" x14ac:dyDescent="0.35">
      <c r="A69" s="389" t="s">
        <v>155</v>
      </c>
      <c r="B69" s="352"/>
      <c r="C69" s="320"/>
      <c r="D69" s="320"/>
      <c r="E69" s="320"/>
      <c r="F69" s="320"/>
      <c r="G69" s="320"/>
      <c r="H69" s="569" t="s">
        <v>105</v>
      </c>
      <c r="I69" s="573"/>
      <c r="J69" s="573"/>
      <c r="K69" s="570"/>
      <c r="L69" s="307"/>
      <c r="M69" s="308"/>
    </row>
    <row r="70" spans="1:32" ht="24" customHeight="1" x14ac:dyDescent="0.35">
      <c r="A70" s="309"/>
      <c r="B70" s="352"/>
      <c r="C70" s="320"/>
      <c r="D70" s="320"/>
      <c r="E70" s="320"/>
      <c r="F70" s="320"/>
      <c r="G70" s="320"/>
      <c r="H70" s="341"/>
      <c r="I70" s="342" t="s">
        <v>113</v>
      </c>
      <c r="J70" s="343" t="s">
        <v>11</v>
      </c>
      <c r="K70" s="570" t="s">
        <v>51</v>
      </c>
      <c r="L70" s="307"/>
      <c r="M70" s="308"/>
    </row>
    <row r="71" spans="1:32" ht="24" customHeight="1" x14ac:dyDescent="0.35">
      <c r="A71" s="325"/>
      <c r="B71" s="359"/>
      <c r="C71" s="310"/>
      <c r="D71" s="310"/>
      <c r="E71" s="310"/>
      <c r="F71" s="310"/>
      <c r="G71" s="415"/>
      <c r="H71" s="891" t="s">
        <v>211</v>
      </c>
      <c r="I71" s="892"/>
      <c r="J71" s="892"/>
      <c r="K71" s="893"/>
      <c r="L71" s="326"/>
      <c r="M71" s="299"/>
    </row>
    <row r="72" spans="1:32" ht="24" customHeight="1" x14ac:dyDescent="0.35">
      <c r="A72" s="302" t="s">
        <v>106</v>
      </c>
      <c r="B72" s="407">
        <v>4</v>
      </c>
      <c r="C72" s="346" t="s">
        <v>29</v>
      </c>
      <c r="D72" s="346" t="s">
        <v>30</v>
      </c>
      <c r="E72" s="346" t="s">
        <v>31</v>
      </c>
      <c r="F72" s="346" t="s">
        <v>32</v>
      </c>
      <c r="G72" s="346" t="s">
        <v>33</v>
      </c>
      <c r="H72" s="574" t="s">
        <v>108</v>
      </c>
      <c r="I72" s="571"/>
      <c r="J72" s="571"/>
      <c r="K72" s="572"/>
      <c r="L72" s="304">
        <v>3</v>
      </c>
      <c r="M72" s="305">
        <f>IF(L72=0,"-",ROUND(L72*B72/B$99,4))</f>
        <v>0.13639999999999999</v>
      </c>
    </row>
    <row r="73" spans="1:32" ht="24" customHeight="1" x14ac:dyDescent="0.35">
      <c r="A73" s="309" t="s">
        <v>107</v>
      </c>
      <c r="B73" s="352"/>
      <c r="C73" s="348">
        <v>1.5</v>
      </c>
      <c r="D73" s="348">
        <v>2</v>
      </c>
      <c r="E73" s="348">
        <v>2.5</v>
      </c>
      <c r="F73" s="348">
        <v>3</v>
      </c>
      <c r="G73" s="348">
        <v>5</v>
      </c>
      <c r="H73" s="569" t="s">
        <v>146</v>
      </c>
      <c r="I73" s="573"/>
      <c r="J73" s="573"/>
      <c r="K73" s="570"/>
      <c r="L73" s="307"/>
      <c r="M73" s="308"/>
      <c r="P73" s="347"/>
    </row>
    <row r="74" spans="1:32" ht="24" customHeight="1" x14ac:dyDescent="0.35">
      <c r="A74" s="309"/>
      <c r="B74" s="352"/>
      <c r="C74" s="344"/>
      <c r="D74" s="344"/>
      <c r="E74" s="344"/>
      <c r="F74" s="344"/>
      <c r="G74" s="344"/>
      <c r="H74" s="569" t="s">
        <v>110</v>
      </c>
      <c r="I74" s="573"/>
      <c r="J74" s="573"/>
      <c r="K74" s="570"/>
      <c r="L74" s="307"/>
      <c r="M74" s="308"/>
    </row>
    <row r="75" spans="1:32" ht="24" customHeight="1" x14ac:dyDescent="0.35">
      <c r="A75" s="309"/>
      <c r="B75" s="352"/>
      <c r="C75" s="344"/>
      <c r="D75" s="344"/>
      <c r="E75" s="344"/>
      <c r="F75" s="344"/>
      <c r="G75" s="344"/>
      <c r="H75" s="569" t="s">
        <v>191</v>
      </c>
      <c r="I75" s="573"/>
      <c r="J75" s="573"/>
      <c r="K75" s="570"/>
      <c r="L75" s="307"/>
      <c r="M75" s="308"/>
    </row>
    <row r="76" spans="1:32" ht="24" customHeight="1" x14ac:dyDescent="0.35">
      <c r="A76" s="309"/>
      <c r="B76" s="352"/>
      <c r="C76" s="344"/>
      <c r="D76" s="344"/>
      <c r="E76" s="344"/>
      <c r="F76" s="344"/>
      <c r="G76" s="344"/>
      <c r="H76" s="569"/>
      <c r="I76" s="323" t="s">
        <v>112</v>
      </c>
      <c r="J76" s="324">
        <v>2.5</v>
      </c>
      <c r="K76" s="382"/>
      <c r="L76" s="307"/>
      <c r="M76" s="308"/>
    </row>
    <row r="77" spans="1:32" ht="24" customHeight="1" x14ac:dyDescent="0.35">
      <c r="A77" s="325"/>
      <c r="B77" s="359"/>
      <c r="C77" s="310"/>
      <c r="D77" s="310"/>
      <c r="E77" s="310"/>
      <c r="F77" s="310"/>
      <c r="G77" s="310"/>
      <c r="H77" s="891" t="s">
        <v>212</v>
      </c>
      <c r="I77" s="892"/>
      <c r="J77" s="892"/>
      <c r="K77" s="893"/>
      <c r="L77" s="326"/>
      <c r="M77" s="299"/>
      <c r="R77" s="349"/>
    </row>
    <row r="78" spans="1:32" ht="24" customHeight="1" x14ac:dyDescent="0.35">
      <c r="A78" s="350" t="s">
        <v>132</v>
      </c>
      <c r="B78" s="407">
        <v>4</v>
      </c>
      <c r="C78" s="340">
        <v>0.1</v>
      </c>
      <c r="D78" s="340">
        <v>0.3</v>
      </c>
      <c r="E78" s="340">
        <v>0.5</v>
      </c>
      <c r="F78" s="340">
        <v>0.7</v>
      </c>
      <c r="G78" s="340">
        <v>1</v>
      </c>
      <c r="H78" s="574" t="s">
        <v>123</v>
      </c>
      <c r="I78" s="571"/>
      <c r="J78" s="571"/>
      <c r="K78" s="572"/>
      <c r="L78" s="304">
        <f>4+P79</f>
        <v>5</v>
      </c>
      <c r="M78" s="305">
        <f>IF(L78=0,"-",ROUND(L78*B78/B$99,4))</f>
        <v>0.2273</v>
      </c>
      <c r="N78" s="595" t="s">
        <v>202</v>
      </c>
      <c r="O78" s="292">
        <v>30</v>
      </c>
      <c r="P78" s="292">
        <v>1</v>
      </c>
    </row>
    <row r="79" spans="1:32" ht="24" customHeight="1" x14ac:dyDescent="0.35">
      <c r="A79" s="351" t="s">
        <v>192</v>
      </c>
      <c r="B79" s="352"/>
      <c r="C79" s="320"/>
      <c r="D79" s="320"/>
      <c r="E79" s="320"/>
      <c r="F79" s="320"/>
      <c r="G79" s="311"/>
      <c r="H79" s="569" t="s">
        <v>124</v>
      </c>
      <c r="I79" s="322"/>
      <c r="J79" s="353"/>
      <c r="K79" s="354"/>
      <c r="L79" s="355"/>
      <c r="M79" s="308"/>
      <c r="O79" s="730">
        <f>J83-70</f>
        <v>30</v>
      </c>
      <c r="P79" s="730">
        <f>P78*O79/O78</f>
        <v>1</v>
      </c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</row>
    <row r="80" spans="1:32" ht="24" customHeight="1" x14ac:dyDescent="0.35">
      <c r="A80" s="351"/>
      <c r="B80" s="352"/>
      <c r="C80" s="320"/>
      <c r="D80" s="320"/>
      <c r="E80" s="320"/>
      <c r="F80" s="320"/>
      <c r="G80" s="320"/>
      <c r="H80" s="573" t="s">
        <v>125</v>
      </c>
      <c r="I80" s="322"/>
      <c r="J80" s="353"/>
      <c r="K80" s="354"/>
      <c r="L80" s="355"/>
      <c r="M80" s="308"/>
      <c r="O80" s="356"/>
      <c r="P80" s="356"/>
      <c r="Q80" s="356"/>
      <c r="R80" s="356"/>
      <c r="S80" s="356"/>
      <c r="T80" s="356"/>
      <c r="U80" s="356"/>
      <c r="V80" s="356"/>
      <c r="W80" s="356"/>
      <c r="X80" s="356"/>
      <c r="Y80" s="356"/>
      <c r="Z80" s="356"/>
      <c r="AA80" s="356"/>
      <c r="AB80" s="356"/>
      <c r="AC80" s="356"/>
      <c r="AD80" s="356"/>
      <c r="AE80" s="356"/>
      <c r="AF80" s="356"/>
    </row>
    <row r="81" spans="1:32" ht="24" customHeight="1" x14ac:dyDescent="0.35">
      <c r="A81" s="351"/>
      <c r="B81" s="352"/>
      <c r="C81" s="320"/>
      <c r="D81" s="320"/>
      <c r="E81" s="320"/>
      <c r="F81" s="320"/>
      <c r="G81" s="320"/>
      <c r="H81" s="569" t="s">
        <v>126</v>
      </c>
      <c r="I81" s="322"/>
      <c r="J81" s="353"/>
      <c r="K81" s="354"/>
      <c r="L81" s="355"/>
      <c r="M81" s="308"/>
      <c r="O81" s="356"/>
      <c r="P81" s="356"/>
      <c r="Q81" s="356"/>
      <c r="R81" s="356"/>
      <c r="S81" s="356"/>
      <c r="T81" s="356"/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</row>
    <row r="82" spans="1:32" ht="24" customHeight="1" x14ac:dyDescent="0.35">
      <c r="A82" s="351"/>
      <c r="B82" s="352"/>
      <c r="C82" s="320"/>
      <c r="D82" s="320"/>
      <c r="E82" s="320"/>
      <c r="F82" s="320"/>
      <c r="G82" s="320"/>
      <c r="H82" s="569" t="s">
        <v>127</v>
      </c>
      <c r="I82" s="322"/>
      <c r="J82" s="353"/>
      <c r="K82" s="354"/>
      <c r="L82" s="355"/>
      <c r="M82" s="308"/>
      <c r="O82" s="356"/>
      <c r="P82" s="356"/>
      <c r="Q82" s="356"/>
      <c r="R82" s="356"/>
      <c r="S82" s="356"/>
      <c r="T82" s="356"/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</row>
    <row r="83" spans="1:32" ht="24" customHeight="1" x14ac:dyDescent="0.35">
      <c r="A83" s="351"/>
      <c r="B83" s="352"/>
      <c r="C83" s="320"/>
      <c r="D83" s="320"/>
      <c r="E83" s="320"/>
      <c r="F83" s="320"/>
      <c r="G83" s="320"/>
      <c r="H83" s="569"/>
      <c r="I83" s="323" t="s">
        <v>114</v>
      </c>
      <c r="J83" s="408">
        <f>สพญ.!S87</f>
        <v>100</v>
      </c>
      <c r="K83" s="382" t="s">
        <v>51</v>
      </c>
      <c r="L83" s="355"/>
      <c r="M83" s="308"/>
      <c r="O83" s="356"/>
      <c r="P83" s="356"/>
      <c r="Q83" s="356"/>
      <c r="R83" s="356"/>
      <c r="S83" s="356"/>
      <c r="T83" s="356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</row>
    <row r="84" spans="1:32" ht="24" customHeight="1" x14ac:dyDescent="0.35">
      <c r="A84" s="358"/>
      <c r="B84" s="359"/>
      <c r="C84" s="310"/>
      <c r="D84" s="310"/>
      <c r="E84" s="310"/>
      <c r="F84" s="310"/>
      <c r="G84" s="310"/>
      <c r="H84" s="330"/>
      <c r="I84" s="423"/>
      <c r="J84" s="423"/>
      <c r="K84" s="424"/>
      <c r="L84" s="360"/>
      <c r="M84" s="299"/>
      <c r="O84" s="356"/>
      <c r="P84" s="356"/>
      <c r="Q84" s="356"/>
      <c r="R84" s="356"/>
      <c r="S84" s="356"/>
      <c r="T84" s="356"/>
      <c r="U84" s="356"/>
      <c r="V84" s="357"/>
      <c r="W84" s="356"/>
      <c r="X84" s="356"/>
      <c r="Y84" s="356"/>
      <c r="Z84" s="356"/>
      <c r="AA84" s="356"/>
      <c r="AB84" s="356"/>
      <c r="AC84" s="356"/>
      <c r="AD84" s="356"/>
      <c r="AE84" s="356"/>
      <c r="AF84" s="356"/>
    </row>
    <row r="85" spans="1:32" ht="24" customHeight="1" x14ac:dyDescent="0.35">
      <c r="A85" s="302" t="s">
        <v>115</v>
      </c>
      <c r="B85" s="407">
        <v>4</v>
      </c>
      <c r="C85" s="361">
        <v>0.8</v>
      </c>
      <c r="D85" s="361">
        <v>0.85</v>
      </c>
      <c r="E85" s="361">
        <v>0.9</v>
      </c>
      <c r="F85" s="361">
        <v>0.95</v>
      </c>
      <c r="G85" s="361">
        <v>1</v>
      </c>
      <c r="H85" s="574" t="s">
        <v>157</v>
      </c>
      <c r="I85" s="571"/>
      <c r="J85" s="571"/>
      <c r="K85" s="572"/>
      <c r="L85" s="304">
        <f>4+O87</f>
        <v>4.9779999999999998</v>
      </c>
      <c r="M85" s="305">
        <f>IF(L85=0,"-",ROUND(L85*B85/B$99,4))</f>
        <v>0.2263</v>
      </c>
      <c r="N85" s="425" t="s">
        <v>203</v>
      </c>
      <c r="O85" s="356"/>
      <c r="P85" s="356"/>
      <c r="Q85" s="356"/>
      <c r="R85" s="356"/>
      <c r="S85" s="356"/>
      <c r="T85" s="356"/>
      <c r="U85" s="356"/>
      <c r="V85" s="357"/>
      <c r="W85" s="356"/>
      <c r="X85" s="356"/>
      <c r="Y85" s="356"/>
      <c r="Z85" s="356"/>
      <c r="AA85" s="356"/>
      <c r="AB85" s="356"/>
      <c r="AC85" s="356"/>
      <c r="AD85" s="356"/>
      <c r="AE85" s="356"/>
      <c r="AF85" s="356"/>
    </row>
    <row r="86" spans="1:32" ht="24" customHeight="1" x14ac:dyDescent="0.35">
      <c r="A86" s="309" t="s">
        <v>116</v>
      </c>
      <c r="B86" s="352"/>
      <c r="C86" s="348"/>
      <c r="D86" s="348"/>
      <c r="E86" s="348"/>
      <c r="F86" s="348"/>
      <c r="G86" s="348"/>
      <c r="H86" s="569" t="s">
        <v>158</v>
      </c>
      <c r="I86" s="573"/>
      <c r="J86" s="573"/>
      <c r="K86" s="570"/>
      <c r="L86" s="362"/>
      <c r="M86" s="308"/>
      <c r="N86" s="292">
        <v>5</v>
      </c>
      <c r="O86" s="292">
        <v>1</v>
      </c>
    </row>
    <row r="87" spans="1:32" ht="24" customHeight="1" x14ac:dyDescent="0.35">
      <c r="A87" s="309" t="s">
        <v>193</v>
      </c>
      <c r="B87" s="352"/>
      <c r="C87" s="320"/>
      <c r="D87" s="320"/>
      <c r="E87" s="320"/>
      <c r="F87" s="320"/>
      <c r="G87" s="320"/>
      <c r="H87" s="569" t="s">
        <v>197</v>
      </c>
      <c r="I87" s="573"/>
      <c r="J87" s="573"/>
      <c r="K87" s="570"/>
      <c r="L87" s="362"/>
      <c r="M87" s="308"/>
      <c r="N87" s="540">
        <f>J90-95</f>
        <v>4.8900000000000006</v>
      </c>
      <c r="O87" s="292">
        <f>O86*N87/N86</f>
        <v>0.97800000000000009</v>
      </c>
    </row>
    <row r="88" spans="1:32" ht="24" customHeight="1" x14ac:dyDescent="0.35">
      <c r="A88" s="309"/>
      <c r="B88" s="352"/>
      <c r="C88" s="320"/>
      <c r="D88" s="320"/>
      <c r="E88" s="320"/>
      <c r="F88" s="320"/>
      <c r="G88" s="320"/>
      <c r="H88" s="569" t="s">
        <v>120</v>
      </c>
      <c r="I88" s="573"/>
      <c r="J88" s="573"/>
      <c r="K88" s="570"/>
      <c r="L88" s="362"/>
      <c r="M88" s="308"/>
    </row>
    <row r="89" spans="1:32" ht="24" customHeight="1" x14ac:dyDescent="0.35">
      <c r="A89" s="309"/>
      <c r="B89" s="352"/>
      <c r="C89" s="320"/>
      <c r="D89" s="320"/>
      <c r="E89" s="320"/>
      <c r="F89" s="320"/>
      <c r="G89" s="320"/>
      <c r="H89" s="569" t="s">
        <v>194</v>
      </c>
      <c r="I89" s="573"/>
      <c r="J89" s="573"/>
      <c r="K89" s="570"/>
      <c r="L89" s="362"/>
      <c r="M89" s="308"/>
    </row>
    <row r="90" spans="1:32" ht="24" customHeight="1" x14ac:dyDescent="0.35">
      <c r="A90" s="309"/>
      <c r="B90" s="352"/>
      <c r="C90" s="320"/>
      <c r="D90" s="320"/>
      <c r="E90" s="320"/>
      <c r="F90" s="320"/>
      <c r="G90" s="344"/>
      <c r="H90" s="569" t="s">
        <v>195</v>
      </c>
      <c r="I90" s="345"/>
      <c r="J90" s="408">
        <v>99.89</v>
      </c>
      <c r="K90" s="413" t="s">
        <v>51</v>
      </c>
      <c r="L90" s="412"/>
      <c r="M90" s="308"/>
    </row>
    <row r="91" spans="1:32" ht="24" customHeight="1" x14ac:dyDescent="0.35">
      <c r="A91" s="358"/>
      <c r="B91" s="414"/>
      <c r="C91" s="411"/>
      <c r="D91" s="411"/>
      <c r="E91" s="411"/>
      <c r="F91" s="411"/>
      <c r="G91" s="329"/>
      <c r="H91" s="576"/>
      <c r="I91" s="915" t="s">
        <v>193</v>
      </c>
      <c r="J91" s="915"/>
      <c r="K91" s="584"/>
      <c r="L91" s="416"/>
      <c r="M91" s="308"/>
    </row>
    <row r="92" spans="1:32" ht="24" customHeight="1" x14ac:dyDescent="0.35">
      <c r="A92" s="351" t="s">
        <v>324</v>
      </c>
      <c r="B92" s="585">
        <v>4</v>
      </c>
      <c r="C92" s="586">
        <v>0.4</v>
      </c>
      <c r="D92" s="586">
        <v>0.45</v>
      </c>
      <c r="E92" s="586">
        <v>0.5</v>
      </c>
      <c r="F92" s="586">
        <v>0.55000000000000004</v>
      </c>
      <c r="G92" s="586">
        <v>0.6</v>
      </c>
      <c r="H92" s="569" t="s">
        <v>325</v>
      </c>
      <c r="I92" s="345"/>
      <c r="J92" s="587"/>
      <c r="K92" s="588"/>
      <c r="L92" s="355">
        <v>4</v>
      </c>
      <c r="M92" s="305">
        <f>IF(L92=0,"-",ROUND(L92*B92/B$99,4))</f>
        <v>0.18179999999999999</v>
      </c>
    </row>
    <row r="93" spans="1:32" ht="23.25" x14ac:dyDescent="0.35">
      <c r="A93" s="351" t="s">
        <v>326</v>
      </c>
      <c r="B93" s="406"/>
      <c r="C93" s="311"/>
      <c r="D93" s="311"/>
      <c r="E93" s="311"/>
      <c r="F93" s="311"/>
      <c r="G93" s="333"/>
      <c r="H93" s="569" t="s">
        <v>327</v>
      </c>
      <c r="I93" s="345"/>
      <c r="J93" s="587"/>
      <c r="K93" s="588"/>
      <c r="L93" s="412"/>
      <c r="M93" s="308"/>
    </row>
    <row r="94" spans="1:32" ht="23.25" x14ac:dyDescent="0.35">
      <c r="A94" s="351"/>
      <c r="B94" s="406"/>
      <c r="C94" s="311"/>
      <c r="D94" s="311"/>
      <c r="E94" s="311"/>
      <c r="F94" s="311"/>
      <c r="G94" s="333"/>
      <c r="H94" s="569"/>
      <c r="I94" s="345"/>
      <c r="J94" s="587"/>
      <c r="K94" s="588"/>
      <c r="L94" s="412"/>
      <c r="M94" s="308"/>
    </row>
    <row r="95" spans="1:32" ht="23.25" x14ac:dyDescent="0.35">
      <c r="A95" s="351"/>
      <c r="B95" s="406"/>
      <c r="C95" s="311"/>
      <c r="D95" s="311"/>
      <c r="E95" s="311"/>
      <c r="F95" s="311"/>
      <c r="G95" s="333"/>
      <c r="H95" s="569"/>
      <c r="I95" s="345" t="s">
        <v>174</v>
      </c>
      <c r="J95" s="589">
        <v>55</v>
      </c>
      <c r="K95" s="413" t="s">
        <v>51</v>
      </c>
      <c r="L95" s="412"/>
      <c r="M95" s="308"/>
    </row>
    <row r="96" spans="1:32" ht="23.25" x14ac:dyDescent="0.35">
      <c r="A96" s="351"/>
      <c r="B96" s="406"/>
      <c r="C96" s="311"/>
      <c r="D96" s="311"/>
      <c r="E96" s="311"/>
      <c r="F96" s="311"/>
      <c r="G96" s="333"/>
      <c r="H96" s="569"/>
      <c r="I96" s="345"/>
      <c r="J96" s="587"/>
      <c r="K96" s="588"/>
      <c r="L96" s="412"/>
      <c r="M96" s="308"/>
    </row>
    <row r="97" spans="1:13" ht="23.25" x14ac:dyDescent="0.35">
      <c r="A97" s="351"/>
      <c r="B97" s="406"/>
      <c r="C97" s="311"/>
      <c r="D97" s="311"/>
      <c r="E97" s="311"/>
      <c r="F97" s="311"/>
      <c r="G97" s="333"/>
      <c r="H97" s="569"/>
      <c r="I97" s="345"/>
      <c r="J97" s="587"/>
      <c r="K97" s="588"/>
      <c r="L97" s="412"/>
      <c r="M97" s="308"/>
    </row>
    <row r="98" spans="1:13" ht="23.25" x14ac:dyDescent="0.35">
      <c r="A98" s="358"/>
      <c r="B98" s="414"/>
      <c r="C98" s="411"/>
      <c r="D98" s="411"/>
      <c r="E98" s="411"/>
      <c r="F98" s="411"/>
      <c r="G98" s="415"/>
      <c r="H98" s="576"/>
      <c r="I98" s="345"/>
      <c r="J98" s="587"/>
      <c r="K98" s="584"/>
      <c r="L98" s="412"/>
      <c r="M98" s="308"/>
    </row>
    <row r="99" spans="1:13" ht="26.25" x14ac:dyDescent="0.4">
      <c r="A99" s="363"/>
      <c r="B99" s="409">
        <f>ROUND(SUM(B6:B98),1)</f>
        <v>88</v>
      </c>
      <c r="C99" s="364"/>
      <c r="D99" s="364"/>
      <c r="E99" s="364"/>
      <c r="F99" s="364"/>
      <c r="G99" s="365"/>
      <c r="H99" s="364"/>
      <c r="I99" s="364"/>
      <c r="J99" s="364"/>
      <c r="K99" s="364"/>
      <c r="L99" s="366" t="s">
        <v>139</v>
      </c>
      <c r="M99" s="410">
        <f>(SUM(M6:M98))</f>
        <v>3.3954000000000009</v>
      </c>
    </row>
  </sheetData>
  <mergeCells count="32">
    <mergeCell ref="I91:J91"/>
    <mergeCell ref="H30:K30"/>
    <mergeCell ref="H35:K35"/>
    <mergeCell ref="H37:K37"/>
    <mergeCell ref="H42:K42"/>
    <mergeCell ref="H71:K71"/>
    <mergeCell ref="H77:K77"/>
    <mergeCell ref="H29:K29"/>
    <mergeCell ref="H16:I16"/>
    <mergeCell ref="H18:I18"/>
    <mergeCell ref="H19:I19"/>
    <mergeCell ref="H20:I20"/>
    <mergeCell ref="H21:K21"/>
    <mergeCell ref="H22:K22"/>
    <mergeCell ref="H23:K23"/>
    <mergeCell ref="H24:K24"/>
    <mergeCell ref="H25:K25"/>
    <mergeCell ref="H27:K27"/>
    <mergeCell ref="H28:K28"/>
    <mergeCell ref="H15:I15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1:I11"/>
    <mergeCell ref="H12:I13"/>
    <mergeCell ref="J12:K12"/>
  </mergeCells>
  <printOptions horizontalCentered="1"/>
  <pageMargins left="0.196850393700787" right="0" top="0.55118110236220497" bottom="0.27559055118110198" header="0.196850393700787" footer="0.47244094488188998"/>
  <pageSetup paperSize="9" scale="75" orientation="landscape" r:id="rId1"/>
  <headerFooter scaleWithDoc="0">
    <oddHeader>&amp;R&amp;"TH SarabunPSK,ธรรมดา"&amp;16&amp;P</oddHeader>
  </headerFooter>
  <rowBreaks count="3" manualBreakCount="3">
    <brk id="27" max="12" man="1"/>
    <brk id="53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25</vt:i4>
      </vt:variant>
      <vt:variant>
        <vt:lpstr>ช่วงที่มีชื่อ</vt:lpstr>
      </vt:variant>
      <vt:variant>
        <vt:i4>40</vt:i4>
      </vt:variant>
    </vt:vector>
  </HeadingPairs>
  <TitlesOfParts>
    <vt:vector size="65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สพญ.</vt:lpstr>
      <vt:lpstr>ส่วนวิศวกรรม</vt:lpstr>
      <vt:lpstr>ส่วนติดตามและประเมินผล</vt:lpstr>
      <vt:lpstr>ฝ่ายบริหาร</vt:lpstr>
      <vt:lpstr>สพญ.1</vt:lpstr>
      <vt:lpstr>สพญ.2</vt:lpstr>
      <vt:lpstr>สพญ.3</vt:lpstr>
      <vt:lpstr>สพญ.4</vt:lpstr>
      <vt:lpstr>สพญ.5</vt:lpstr>
      <vt:lpstr>สพญ.6</vt:lpstr>
      <vt:lpstr>สพญ.7</vt:lpstr>
      <vt:lpstr>สพญ.8</vt:lpstr>
      <vt:lpstr>สพญ.9</vt:lpstr>
      <vt:lpstr>สพญ.10</vt:lpstr>
      <vt:lpstr>สพญ.11</vt:lpstr>
      <vt:lpstr>สพญ.12</vt:lpstr>
      <vt:lpstr>สพญ.13</vt:lpstr>
      <vt:lpstr>เรียงคะแนน</vt:lpstr>
      <vt:lpstr>รายงานวิจัย</vt:lpstr>
      <vt:lpstr>ฝ่ายบริหาร!Print_Area</vt:lpstr>
      <vt:lpstr>สพญ.!Print_Area</vt:lpstr>
      <vt:lpstr>สพญ.1!Print_Area</vt:lpstr>
      <vt:lpstr>สพญ.10!Print_Area</vt:lpstr>
      <vt:lpstr>สพญ.11!Print_Area</vt:lpstr>
      <vt:lpstr>สพญ.12!Print_Area</vt:lpstr>
      <vt:lpstr>สพญ.13!Print_Area</vt:lpstr>
      <vt:lpstr>สพญ.2!Print_Area</vt:lpstr>
      <vt:lpstr>สพญ.3!Print_Area</vt:lpstr>
      <vt:lpstr>สพญ.4!Print_Area</vt:lpstr>
      <vt:lpstr>สพญ.5!Print_Area</vt:lpstr>
      <vt:lpstr>สพญ.6!Print_Area</vt:lpstr>
      <vt:lpstr>สพญ.7!Print_Area</vt:lpstr>
      <vt:lpstr>สพญ.8!Print_Area</vt:lpstr>
      <vt:lpstr>สพญ.9!Print_Area</vt:lpstr>
      <vt:lpstr>ส่วนติดตามและประเมินผล!Print_Area</vt:lpstr>
      <vt:lpstr>ส่วนวิศวกรรม!Print_Area</vt:lpstr>
      <vt:lpstr>ฝ่ายบริหาร!Print_Titles</vt:lpstr>
      <vt:lpstr>'รอบ 10 เดือน'!Print_Titles</vt:lpstr>
      <vt:lpstr>'รอบ 11 เดือน 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  <vt:lpstr>สพญ.!Print_Titles</vt:lpstr>
      <vt:lpstr>สพญ.1!Print_Titles</vt:lpstr>
      <vt:lpstr>สพญ.10!Print_Titles</vt:lpstr>
      <vt:lpstr>สพญ.11!Print_Titles</vt:lpstr>
      <vt:lpstr>สพญ.12!Print_Titles</vt:lpstr>
      <vt:lpstr>สพญ.13!Print_Titles</vt:lpstr>
      <vt:lpstr>สพญ.2!Print_Titles</vt:lpstr>
      <vt:lpstr>สพญ.3!Print_Titles</vt:lpstr>
      <vt:lpstr>สพญ.4!Print_Titles</vt:lpstr>
      <vt:lpstr>สพญ.5!Print_Titles</vt:lpstr>
      <vt:lpstr>สพญ.6!Print_Titles</vt:lpstr>
      <vt:lpstr>สพญ.7!Print_Titles</vt:lpstr>
      <vt:lpstr>สพญ.8!Print_Titles</vt:lpstr>
      <vt:lpstr>สพญ.9!Print_Titles</vt:lpstr>
      <vt:lpstr>ส่วนติดตามและประเมินผล!Print_Titles</vt:lpstr>
      <vt:lpstr>ส่วนวิศวกรรม!Print_Titles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admin</cp:lastModifiedBy>
  <cp:lastPrinted>2016-09-14T08:03:02Z</cp:lastPrinted>
  <dcterms:created xsi:type="dcterms:W3CDTF">2013-03-19T03:55:17Z</dcterms:created>
  <dcterms:modified xsi:type="dcterms:W3CDTF">2016-09-19T06:23:56Z</dcterms:modified>
</cp:coreProperties>
</file>