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120" windowHeight="8100" tabRatio="852" firstSheet="6" activeTab="6"/>
  </bookViews>
  <sheets>
    <sheet name="รอบ 6 เดือน" sheetId="10" state="hidden" r:id="rId1"/>
    <sheet name="รอบ 7 เดือน" sheetId="1" state="hidden" r:id="rId2"/>
    <sheet name="รอบ 8 เดือน" sheetId="11" state="hidden" r:id="rId3"/>
    <sheet name="รอบ 9 เดือน" sheetId="12" state="hidden" r:id="rId4"/>
    <sheet name="รอบ 10 เดือน" sheetId="13" state="hidden" r:id="rId5"/>
    <sheet name="รอบ 11 เดือน " sheetId="14" state="hidden" r:id="rId6"/>
    <sheet name="สพญ." sheetId="15" r:id="rId7"/>
    <sheet name="ส่วนวิศวกรรม" sheetId="16" r:id="rId8"/>
    <sheet name="ส่วนติดตามและประเมินผล" sheetId="17" r:id="rId9"/>
    <sheet name="ฝ่ายบริหาร" sheetId="18" r:id="rId10"/>
    <sheet name="สพญ.1" sheetId="19" r:id="rId11"/>
    <sheet name="สพญ.2" sheetId="20" r:id="rId12"/>
    <sheet name="สพญ.3" sheetId="21" r:id="rId13"/>
    <sheet name="สพญ.4" sheetId="22" r:id="rId14"/>
    <sheet name="สพญ.5" sheetId="23" r:id="rId15"/>
    <sheet name="สพญ.6" sheetId="24" r:id="rId16"/>
    <sheet name="สพญ.7" sheetId="25" r:id="rId17"/>
    <sheet name="สพญ.8" sheetId="26" r:id="rId18"/>
    <sheet name="สพญ.9" sheetId="27" r:id="rId19"/>
    <sheet name="สพญ.10" sheetId="28" r:id="rId20"/>
    <sheet name="สพญ.11" sheetId="29" r:id="rId21"/>
    <sheet name="สพญ.12" sheetId="30" r:id="rId22"/>
    <sheet name="สพญ.13" sheetId="31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9">ฝ่ายบริหาร!$A$1:$M$43</definedName>
    <definedName name="_xlnm.Print_Area" localSheetId="6">สพญ.!$A$1:$M$98</definedName>
    <definedName name="_xlnm.Print_Area" localSheetId="10">สพญ.1!$A$1:$M$78</definedName>
    <definedName name="_xlnm.Print_Area" localSheetId="19">สพญ.10!$A$1:$M$75</definedName>
    <definedName name="_xlnm.Print_Area" localSheetId="20">สพญ.11!$A$1:$M$90</definedName>
    <definedName name="_xlnm.Print_Area" localSheetId="21">สพญ.12!$A$1:$M$83</definedName>
    <definedName name="_xlnm.Print_Area" localSheetId="22">สพญ.13!$A$1:$M$82</definedName>
    <definedName name="_xlnm.Print_Area" localSheetId="11">สพญ.2!$A$1:$M$81</definedName>
    <definedName name="_xlnm.Print_Area" localSheetId="12">สพญ.3!$A$1:$M$77</definedName>
    <definedName name="_xlnm.Print_Area" localSheetId="13">สพญ.4!$A$1:$M$77</definedName>
    <definedName name="_xlnm.Print_Area" localSheetId="14">สพญ.5!$A$1:$M$83</definedName>
    <definedName name="_xlnm.Print_Area" localSheetId="15">สพญ.6!$A$1:$M$84</definedName>
    <definedName name="_xlnm.Print_Area" localSheetId="16">สพญ.7!$A$1:$M$77</definedName>
    <definedName name="_xlnm.Print_Area" localSheetId="17">สพญ.8!$A$1:$M$83</definedName>
    <definedName name="_xlnm.Print_Area" localSheetId="18">สพญ.9!$A$1:$M$82</definedName>
    <definedName name="_xlnm.Print_Area" localSheetId="8">ส่วนติดตามและประเมินผล!$A$1:$M$99</definedName>
    <definedName name="_xlnm.Print_Area" localSheetId="7">ส่วนวิศวกรรม!$A$1:$M$82</definedName>
    <definedName name="_xlnm.Print_Titles" localSheetId="9">ฝ่ายบริหาร!$4:$5</definedName>
    <definedName name="_xlnm.Print_Titles" localSheetId="4">'รอบ 10 เดือน'!$4:$5</definedName>
    <definedName name="_xlnm.Print_Titles" localSheetId="5">'รอบ 11 เดือน '!$4:$5</definedName>
    <definedName name="_xlnm.Print_Titles" localSheetId="0">'รอบ 6 เดือน'!$4:$5</definedName>
    <definedName name="_xlnm.Print_Titles" localSheetId="1">'รอบ 7 เดือน'!$4:$5</definedName>
    <definedName name="_xlnm.Print_Titles" localSheetId="2">'รอบ 8 เดือน'!$4:$5</definedName>
    <definedName name="_xlnm.Print_Titles" localSheetId="3">'รอบ 9 เดือน'!$4:$5</definedName>
    <definedName name="_xlnm.Print_Titles" localSheetId="6">สพญ.!$4:$5</definedName>
    <definedName name="_xlnm.Print_Titles" localSheetId="10">สพญ.1!$4:$5</definedName>
    <definedName name="_xlnm.Print_Titles" localSheetId="19">สพญ.10!$4:$5</definedName>
    <definedName name="_xlnm.Print_Titles" localSheetId="20">สพญ.11!$4:$5</definedName>
    <definedName name="_xlnm.Print_Titles" localSheetId="21">สพญ.12!$4:$5</definedName>
    <definedName name="_xlnm.Print_Titles" localSheetId="22">สพญ.13!$4:$5</definedName>
    <definedName name="_xlnm.Print_Titles" localSheetId="11">สพญ.2!$4:$5</definedName>
    <definedName name="_xlnm.Print_Titles" localSheetId="12">สพญ.3!$4:$5</definedName>
    <definedName name="_xlnm.Print_Titles" localSheetId="13">สพญ.4!$4:$5</definedName>
    <definedName name="_xlnm.Print_Titles" localSheetId="14">สพญ.5!$4:$5</definedName>
    <definedName name="_xlnm.Print_Titles" localSheetId="15">สพญ.6!$4:$5</definedName>
    <definedName name="_xlnm.Print_Titles" localSheetId="16">สพญ.7!$4:$5</definedName>
    <definedName name="_xlnm.Print_Titles" localSheetId="17">สพญ.8!$4:$5</definedName>
    <definedName name="_xlnm.Print_Titles" localSheetId="18">สพญ.9!$4:$5</definedName>
    <definedName name="_xlnm.Print_Titles" localSheetId="8">ส่วนติดตามและประเมินผล!$4:$5</definedName>
    <definedName name="_xlnm.Print_Titles" localSheetId="7">ส่วนวิศวกรรม!$4:$5</definedName>
    <definedName name="Z_ED89CF83_5DE1_46A5_8666_D9B25B932357_.wvu.PrintTitles" localSheetId="9" hidden="1">ฝ่ายบริหาร!$4:$5</definedName>
    <definedName name="Z_ED89CF83_5DE1_46A5_8666_D9B25B932357_.wvu.PrintTitles" localSheetId="4" hidden="1">'รอบ 10 เดือน'!$4:$5</definedName>
    <definedName name="Z_ED89CF83_5DE1_46A5_8666_D9B25B932357_.wvu.PrintTitles" localSheetId="5" hidden="1">'รอบ 11 เดือน '!$4:$5</definedName>
    <definedName name="Z_ED89CF83_5DE1_46A5_8666_D9B25B932357_.wvu.PrintTitles" localSheetId="0" hidden="1">'รอบ 6 เดือน'!$4:$5</definedName>
    <definedName name="Z_ED89CF83_5DE1_46A5_8666_D9B25B932357_.wvu.PrintTitles" localSheetId="1" hidden="1">'รอบ 7 เดือน'!$4:$5</definedName>
    <definedName name="Z_ED89CF83_5DE1_46A5_8666_D9B25B932357_.wvu.PrintTitles" localSheetId="2" hidden="1">'รอบ 8 เดือน'!$4:$5</definedName>
    <definedName name="Z_ED89CF83_5DE1_46A5_8666_D9B25B932357_.wvu.PrintTitles" localSheetId="3" hidden="1">'รอบ 9 เดือน'!$4:$5</definedName>
    <definedName name="Z_ED89CF83_5DE1_46A5_8666_D9B25B932357_.wvu.PrintTitles" localSheetId="6" hidden="1">สพญ.!$4:$5</definedName>
    <definedName name="Z_ED89CF83_5DE1_46A5_8666_D9B25B932357_.wvu.PrintTitles" localSheetId="10" hidden="1">สพญ.1!$4:$5</definedName>
    <definedName name="Z_ED89CF83_5DE1_46A5_8666_D9B25B932357_.wvu.PrintTitles" localSheetId="19" hidden="1">สพญ.10!$4:$5</definedName>
    <definedName name="Z_ED89CF83_5DE1_46A5_8666_D9B25B932357_.wvu.PrintTitles" localSheetId="20" hidden="1">สพญ.11!$4:$5</definedName>
    <definedName name="Z_ED89CF83_5DE1_46A5_8666_D9B25B932357_.wvu.PrintTitles" localSheetId="21" hidden="1">สพญ.12!$4:$5</definedName>
    <definedName name="Z_ED89CF83_5DE1_46A5_8666_D9B25B932357_.wvu.PrintTitles" localSheetId="22" hidden="1">สพญ.13!$4:$5</definedName>
    <definedName name="Z_ED89CF83_5DE1_46A5_8666_D9B25B932357_.wvu.PrintTitles" localSheetId="11" hidden="1">สพญ.2!$4:$5</definedName>
    <definedName name="Z_ED89CF83_5DE1_46A5_8666_D9B25B932357_.wvu.PrintTitles" localSheetId="12" hidden="1">สพญ.3!$4:$5</definedName>
    <definedName name="Z_ED89CF83_5DE1_46A5_8666_D9B25B932357_.wvu.PrintTitles" localSheetId="13" hidden="1">สพญ.4!$4:$5</definedName>
    <definedName name="Z_ED89CF83_5DE1_46A5_8666_D9B25B932357_.wvu.PrintTitles" localSheetId="14" hidden="1">สพญ.5!$4:$5</definedName>
    <definedName name="Z_ED89CF83_5DE1_46A5_8666_D9B25B932357_.wvu.PrintTitles" localSheetId="15" hidden="1">สพญ.6!$4:$5</definedName>
    <definedName name="Z_ED89CF83_5DE1_46A5_8666_D9B25B932357_.wvu.PrintTitles" localSheetId="16" hidden="1">สพญ.7!$4:$5</definedName>
    <definedName name="Z_ED89CF83_5DE1_46A5_8666_D9B25B932357_.wvu.PrintTitles" localSheetId="17" hidden="1">สพญ.8!$4:$5</definedName>
    <definedName name="Z_ED89CF83_5DE1_46A5_8666_D9B25B932357_.wvu.PrintTitles" localSheetId="18" hidden="1">สพญ.9!$4:$5</definedName>
    <definedName name="Z_ED89CF83_5DE1_46A5_8666_D9B25B932357_.wvu.PrintTitles" localSheetId="8" hidden="1">ส่วนติดตามและประเมินผล!$4:$5</definedName>
    <definedName name="Z_ED89CF83_5DE1_46A5_8666_D9B25B932357_.wvu.PrintTitles" localSheetId="7" hidden="1">ส่วนวิศวกรรม!$4:$5</definedName>
  </definedNames>
  <calcPr calcId="124519"/>
  <customWorkbookViews>
    <customWorkbookView name="Corporate Edition - Personal View" guid="{ED89CF83-5DE1-46A5-8666-D9B25B932357}" mergeInterval="0" personalView="1" maximized="1" xWindow="1" yWindow="1" windowWidth="1024" windowHeight="552" activeSheetId="2"/>
  </customWorkbookViews>
</workbook>
</file>

<file path=xl/calcChain.xml><?xml version="1.0" encoding="utf-8"?>
<calcChain xmlns="http://schemas.openxmlformats.org/spreadsheetml/2006/main">
  <c r="B82" i="31"/>
  <c r="M39" s="1"/>
  <c r="O64"/>
  <c r="L61" s="1"/>
  <c r="M61" s="1"/>
  <c r="M55"/>
  <c r="J48"/>
  <c r="N47" s="1"/>
  <c r="O47" s="1"/>
  <c r="L44" s="1"/>
  <c r="M44" s="1"/>
  <c r="J37"/>
  <c r="O34"/>
  <c r="Q31"/>
  <c r="J29" s="1"/>
  <c r="Q30"/>
  <c r="P30"/>
  <c r="R29"/>
  <c r="R28"/>
  <c r="R27"/>
  <c r="R26"/>
  <c r="R25"/>
  <c r="J23"/>
  <c r="N22" s="1"/>
  <c r="O22" s="1"/>
  <c r="L18" s="1"/>
  <c r="M18" s="1"/>
  <c r="Q22"/>
  <c r="Q21"/>
  <c r="J10"/>
  <c r="M6"/>
  <c r="T26" l="1"/>
  <c r="U26" s="1"/>
  <c r="L25" s="1"/>
  <c r="M25" s="1"/>
  <c r="M31"/>
  <c r="M75"/>
  <c r="M50"/>
  <c r="M68"/>
  <c r="M11"/>
  <c r="M82" l="1"/>
  <c r="B83" i="30" l="1"/>
  <c r="M69" s="1"/>
  <c r="O65"/>
  <c r="L62"/>
  <c r="J49"/>
  <c r="N48" s="1"/>
  <c r="O48" s="1"/>
  <c r="L45" s="1"/>
  <c r="M45" s="1"/>
  <c r="J38"/>
  <c r="O30"/>
  <c r="L26" s="1"/>
  <c r="M26" s="1"/>
  <c r="J30"/>
  <c r="R28"/>
  <c r="Q22"/>
  <c r="J24" s="1"/>
  <c r="N23" s="1"/>
  <c r="O23" s="1"/>
  <c r="L20" s="1"/>
  <c r="M20" s="1"/>
  <c r="R21"/>
  <c r="Q21"/>
  <c r="J18"/>
  <c r="M62" l="1"/>
  <c r="M40"/>
  <c r="M13"/>
  <c r="M56"/>
  <c r="M6"/>
  <c r="M32"/>
  <c r="M51"/>
  <c r="M76"/>
  <c r="M83" l="1"/>
  <c r="B90" i="29" l="1"/>
  <c r="M69" s="1"/>
  <c r="O70"/>
  <c r="J56"/>
  <c r="J45"/>
  <c r="Q35"/>
  <c r="J37" s="1"/>
  <c r="L33"/>
  <c r="J31"/>
  <c r="S28"/>
  <c r="S27"/>
  <c r="Q24"/>
  <c r="J25" s="1"/>
  <c r="Q23"/>
  <c r="J18"/>
  <c r="Q17"/>
  <c r="Q16"/>
  <c r="M47" l="1"/>
  <c r="M76"/>
  <c r="M13"/>
  <c r="M27"/>
  <c r="M39"/>
  <c r="M63"/>
  <c r="M33"/>
  <c r="M58"/>
  <c r="M20"/>
  <c r="M52"/>
  <c r="M83"/>
  <c r="M6"/>
  <c r="M90" l="1"/>
  <c r="B75" i="28" l="1"/>
  <c r="M68" s="1"/>
  <c r="M61"/>
  <c r="O57"/>
  <c r="L54" s="1"/>
  <c r="M54" s="1"/>
  <c r="N57"/>
  <c r="M43"/>
  <c r="J41"/>
  <c r="M37"/>
  <c r="J30"/>
  <c r="Q28"/>
  <c r="Q23"/>
  <c r="S22"/>
  <c r="S21"/>
  <c r="S20"/>
  <c r="Q24" s="1"/>
  <c r="J24" s="1"/>
  <c r="N24" s="1"/>
  <c r="O24" s="1"/>
  <c r="L20" s="1"/>
  <c r="M20" s="1"/>
  <c r="Q16"/>
  <c r="J18" s="1"/>
  <c r="N16" s="1"/>
  <c r="O16" s="1"/>
  <c r="L13" s="1"/>
  <c r="M13" s="1"/>
  <c r="Q15"/>
  <c r="M6"/>
  <c r="M32" l="1"/>
  <c r="M26"/>
  <c r="M75" s="1"/>
  <c r="M48"/>
  <c r="B82" i="27" l="1"/>
  <c r="M50" s="1"/>
  <c r="O69"/>
  <c r="J48"/>
  <c r="J37"/>
  <c r="O36"/>
  <c r="N36"/>
  <c r="S34"/>
  <c r="Q29"/>
  <c r="J31" s="1"/>
  <c r="Q28"/>
  <c r="R27"/>
  <c r="R26"/>
  <c r="R28" s="1"/>
  <c r="Q23"/>
  <c r="Q24" s="1"/>
  <c r="J24" s="1"/>
  <c r="N24" s="1"/>
  <c r="O24" s="1"/>
  <c r="L19" s="1"/>
  <c r="M19" s="1"/>
  <c r="J11"/>
  <c r="M6" l="1"/>
  <c r="M82" s="1"/>
  <c r="M39"/>
  <c r="M75"/>
  <c r="M61"/>
  <c r="M12"/>
  <c r="M26"/>
  <c r="M55"/>
  <c r="M44"/>
  <c r="M68"/>
  <c r="M33"/>
  <c r="B83" i="26" l="1"/>
  <c r="M69" s="1"/>
  <c r="P70"/>
  <c r="P63"/>
  <c r="M62"/>
  <c r="M56"/>
  <c r="M51"/>
  <c r="J49"/>
  <c r="J47"/>
  <c r="J38"/>
  <c r="M32"/>
  <c r="J30"/>
  <c r="P29"/>
  <c r="L26" s="1"/>
  <c r="M26" s="1"/>
  <c r="S28"/>
  <c r="AD20"/>
  <c r="J24" s="1"/>
  <c r="O22" s="1"/>
  <c r="P22" s="1"/>
  <c r="L20" s="1"/>
  <c r="M20" s="1"/>
  <c r="V14"/>
  <c r="V15" s="1"/>
  <c r="J18" s="1"/>
  <c r="O15" s="1"/>
  <c r="P15" s="1"/>
  <c r="L13" s="1"/>
  <c r="M13" s="1"/>
  <c r="T14"/>
  <c r="M6" l="1"/>
  <c r="M83" s="1"/>
  <c r="M76"/>
  <c r="M45"/>
  <c r="M40"/>
  <c r="B77" i="25" l="1"/>
  <c r="M50" s="1"/>
  <c r="O64"/>
  <c r="Q57"/>
  <c r="J43"/>
  <c r="P40"/>
  <c r="J32"/>
  <c r="R22"/>
  <c r="J24" s="1"/>
  <c r="J18"/>
  <c r="O15" s="1"/>
  <c r="P15" s="1"/>
  <c r="L13" s="1"/>
  <c r="M13" s="1"/>
  <c r="V15"/>
  <c r="V14"/>
  <c r="U14"/>
  <c r="M45" l="1"/>
  <c r="M70"/>
  <c r="M63"/>
  <c r="M39"/>
  <c r="M34"/>
  <c r="M26"/>
  <c r="M56"/>
  <c r="M20"/>
  <c r="M6"/>
  <c r="M77" s="1"/>
  <c r="B84" i="24" l="1"/>
  <c r="M63" s="1"/>
  <c r="P64"/>
  <c r="M57"/>
  <c r="J50"/>
  <c r="J48"/>
  <c r="J40"/>
  <c r="O34"/>
  <c r="P34" s="1"/>
  <c r="L33" s="1"/>
  <c r="M33" s="1"/>
  <c r="V30"/>
  <c r="U30"/>
  <c r="U31" s="1"/>
  <c r="J31" s="1"/>
  <c r="O31" s="1"/>
  <c r="P31" s="1"/>
  <c r="M27"/>
  <c r="J25"/>
  <c r="W24"/>
  <c r="U24"/>
  <c r="W23"/>
  <c r="W22"/>
  <c r="W21"/>
  <c r="M20"/>
  <c r="U18"/>
  <c r="J18" s="1"/>
  <c r="N18" s="1"/>
  <c r="O18" s="1"/>
  <c r="L13" s="1"/>
  <c r="M13" s="1"/>
  <c r="U17"/>
  <c r="M6"/>
  <c r="M52" l="1"/>
  <c r="M46"/>
  <c r="M41"/>
  <c r="M70"/>
  <c r="M77"/>
  <c r="M84" s="1"/>
  <c r="B83" i="23" l="1"/>
  <c r="M51" s="1"/>
  <c r="Q63"/>
  <c r="J49"/>
  <c r="M45"/>
  <c r="J38"/>
  <c r="P31"/>
  <c r="V29"/>
  <c r="U29"/>
  <c r="U30" s="1"/>
  <c r="J30" s="1"/>
  <c r="Q20"/>
  <c r="L19" s="1"/>
  <c r="M19" s="1"/>
  <c r="P20"/>
  <c r="K11"/>
  <c r="J11"/>
  <c r="M6" l="1"/>
  <c r="M26"/>
  <c r="M40"/>
  <c r="M76"/>
  <c r="M69"/>
  <c r="M32"/>
  <c r="M62"/>
  <c r="M56"/>
  <c r="M12"/>
  <c r="M83" l="1"/>
  <c r="B77" i="22" l="1"/>
  <c r="M56" s="1"/>
  <c r="J43"/>
  <c r="J32"/>
  <c r="R22"/>
  <c r="J24" s="1"/>
  <c r="J18"/>
  <c r="M6" l="1"/>
  <c r="M34"/>
  <c r="M50"/>
  <c r="M20"/>
  <c r="M45"/>
  <c r="M13"/>
  <c r="M39"/>
  <c r="M70"/>
  <c r="M26"/>
  <c r="M63"/>
  <c r="M77" l="1"/>
  <c r="B77" i="21" l="1"/>
  <c r="M34" s="1"/>
  <c r="O57"/>
  <c r="J43"/>
  <c r="P40"/>
  <c r="O40"/>
  <c r="J32"/>
  <c r="J24"/>
  <c r="X22"/>
  <c r="P21"/>
  <c r="O21"/>
  <c r="Y16"/>
  <c r="J18" s="1"/>
  <c r="N17" s="1"/>
  <c r="O17" s="1"/>
  <c r="L13" s="1"/>
  <c r="M13" s="1"/>
  <c r="X16"/>
  <c r="M56" l="1"/>
  <c r="M26"/>
  <c r="M50"/>
  <c r="M45"/>
  <c r="M70"/>
  <c r="M6"/>
  <c r="M77" s="1"/>
  <c r="M20"/>
  <c r="M39"/>
  <c r="M63"/>
  <c r="B81" i="20" l="1"/>
  <c r="M54" s="1"/>
  <c r="M49"/>
  <c r="J47"/>
  <c r="O45" s="1"/>
  <c r="P45" s="1"/>
  <c r="L43" s="1"/>
  <c r="M43" s="1"/>
  <c r="J30"/>
  <c r="Y29"/>
  <c r="P27"/>
  <c r="L26" s="1"/>
  <c r="M26" s="1"/>
  <c r="O27"/>
  <c r="J24"/>
  <c r="O20"/>
  <c r="P20" s="1"/>
  <c r="L19" s="1"/>
  <c r="M19" s="1"/>
  <c r="M12"/>
  <c r="J11"/>
  <c r="O7"/>
  <c r="M74" l="1"/>
  <c r="M67"/>
  <c r="M6"/>
  <c r="M38"/>
  <c r="M60"/>
  <c r="M32"/>
  <c r="M81" l="1"/>
  <c r="B78" i="19" l="1"/>
  <c r="M46" s="1"/>
  <c r="J44"/>
  <c r="J34"/>
  <c r="S21"/>
  <c r="J24" s="1"/>
  <c r="J18"/>
  <c r="M6" l="1"/>
  <c r="M13"/>
  <c r="M40"/>
  <c r="M71"/>
  <c r="M26"/>
  <c r="M64"/>
  <c r="M57"/>
  <c r="M35"/>
  <c r="M51"/>
  <c r="M20"/>
  <c r="M78" l="1"/>
  <c r="B43" i="18" l="1"/>
  <c r="M6" s="1"/>
  <c r="M36" l="1"/>
  <c r="M29"/>
  <c r="M23"/>
  <c r="M18"/>
  <c r="M13"/>
  <c r="M43" s="1"/>
  <c r="B99" i="17" l="1"/>
  <c r="M67" s="1"/>
  <c r="O87"/>
  <c r="J60"/>
  <c r="K20"/>
  <c r="J20"/>
  <c r="J11"/>
  <c r="M62" l="1"/>
  <c r="M54"/>
  <c r="M92"/>
  <c r="M12"/>
  <c r="M48"/>
  <c r="M6"/>
  <c r="M42"/>
  <c r="M78"/>
  <c r="M28"/>
  <c r="M72"/>
  <c r="M85"/>
  <c r="M35"/>
  <c r="M21"/>
  <c r="M99" l="1"/>
  <c r="B82" i="16" l="1"/>
  <c r="M27" s="1"/>
  <c r="O69"/>
  <c r="J48"/>
  <c r="M44"/>
  <c r="P38"/>
  <c r="O30"/>
  <c r="R29"/>
  <c r="Q28"/>
  <c r="M20"/>
  <c r="M13" l="1"/>
  <c r="M39"/>
  <c r="M75"/>
  <c r="M6"/>
  <c r="M33"/>
  <c r="M68"/>
  <c r="M61"/>
  <c r="M55"/>
  <c r="M50"/>
  <c r="M82" l="1"/>
  <c r="AA67" i="15" l="1"/>
  <c r="U56"/>
  <c r="T56"/>
  <c r="V47" l="1"/>
  <c r="S31" l="1"/>
  <c r="L91" l="1"/>
  <c r="V40"/>
  <c r="V37"/>
  <c r="V36"/>
  <c r="X40"/>
  <c r="X37"/>
  <c r="X36"/>
  <c r="X35"/>
  <c r="X34"/>
  <c r="X33"/>
  <c r="J33"/>
  <c r="R31"/>
  <c r="X41" l="1"/>
  <c r="J40" s="1"/>
  <c r="O94"/>
  <c r="O7" l="1"/>
  <c r="AC45" l="1"/>
  <c r="AC46"/>
  <c r="AC48"/>
  <c r="AC49"/>
  <c r="AC50"/>
  <c r="AC51"/>
  <c r="AC52"/>
  <c r="AC53"/>
  <c r="AC55"/>
  <c r="AC56"/>
  <c r="AC57"/>
  <c r="AC58"/>
  <c r="AC59"/>
  <c r="AC60"/>
  <c r="AC61"/>
  <c r="AC62"/>
  <c r="AC63"/>
  <c r="AC64"/>
  <c r="AC65"/>
  <c r="AC66"/>
  <c r="AC44"/>
  <c r="P43" l="1"/>
  <c r="AB67"/>
  <c r="P85"/>
  <c r="L84" s="1"/>
  <c r="W41"/>
  <c r="V41"/>
  <c r="AC67" l="1"/>
  <c r="J46" s="1"/>
  <c r="J59"/>
  <c r="J58"/>
  <c r="R50"/>
  <c r="J52" s="1"/>
  <c r="J71" l="1"/>
  <c r="B98" l="1"/>
  <c r="M42" l="1"/>
  <c r="M91"/>
  <c r="M48"/>
  <c r="M35"/>
  <c r="M84"/>
  <c r="M73"/>
  <c r="M54"/>
  <c r="M28"/>
  <c r="M78"/>
  <c r="M67"/>
  <c r="M62"/>
  <c r="J60"/>
  <c r="M21"/>
  <c r="J20"/>
  <c r="J11"/>
  <c r="M98" l="1"/>
  <c r="M12"/>
  <c r="M6"/>
  <c r="L86" i="14"/>
  <c r="K11"/>
  <c r="L9"/>
  <c r="L6" l="1"/>
  <c r="J7"/>
  <c r="J91"/>
  <c r="J45" l="1"/>
  <c r="J46"/>
  <c r="L79" l="1"/>
  <c r="J33" l="1"/>
  <c r="J27"/>
  <c r="J39"/>
  <c r="J39" i="13"/>
  <c r="B94" i="14" l="1"/>
  <c r="M86" s="1"/>
  <c r="J84"/>
  <c r="L73"/>
  <c r="L68"/>
  <c r="L60"/>
  <c r="J58"/>
  <c r="L49"/>
  <c r="J47"/>
  <c r="L41"/>
  <c r="L29"/>
  <c r="L24"/>
  <c r="J15"/>
  <c r="K15"/>
  <c r="M49" l="1"/>
  <c r="M60"/>
  <c r="M68"/>
  <c r="M17"/>
  <c r="M54"/>
  <c r="M35"/>
  <c r="M73"/>
  <c r="M24"/>
  <c r="M6"/>
  <c r="M41"/>
  <c r="M29"/>
  <c r="M9"/>
  <c r="M79"/>
  <c r="J91" i="13"/>
  <c r="L86"/>
  <c r="J46"/>
  <c r="J47" s="1"/>
  <c r="B94"/>
  <c r="M54" s="1"/>
  <c r="L79"/>
  <c r="J84" s="1"/>
  <c r="L73"/>
  <c r="L68"/>
  <c r="L60"/>
  <c r="J58"/>
  <c r="L49"/>
  <c r="L41"/>
  <c r="J33"/>
  <c r="L29"/>
  <c r="J27"/>
  <c r="L24"/>
  <c r="J22"/>
  <c r="L17"/>
  <c r="J15"/>
  <c r="K11"/>
  <c r="K15" s="1"/>
  <c r="L9"/>
  <c r="J7"/>
  <c r="L6"/>
  <c r="K11" i="12"/>
  <c r="M9" i="13" l="1"/>
  <c r="M35"/>
  <c r="M49"/>
  <c r="M73"/>
  <c r="M17"/>
  <c r="M86"/>
  <c r="M24"/>
  <c r="M41"/>
  <c r="M60"/>
  <c r="M93" i="14"/>
  <c r="M6" i="13"/>
  <c r="M29"/>
  <c r="M68"/>
  <c r="M79"/>
  <c r="J7" i="12"/>
  <c r="L6"/>
  <c r="J39"/>
  <c r="J46"/>
  <c r="J47" s="1"/>
  <c r="M93" i="13" l="1"/>
  <c r="L86" i="12"/>
  <c r="L79"/>
  <c r="J84" s="1"/>
  <c r="B94"/>
  <c r="M54" s="1"/>
  <c r="L73"/>
  <c r="L68"/>
  <c r="L60"/>
  <c r="J58"/>
  <c r="L49"/>
  <c r="L41"/>
  <c r="L29"/>
  <c r="L24"/>
  <c r="J22"/>
  <c r="L17"/>
  <c r="K15"/>
  <c r="J15"/>
  <c r="L79" i="11"/>
  <c r="J84"/>
  <c r="M17" i="12" l="1"/>
  <c r="M9"/>
  <c r="M68"/>
  <c r="M73"/>
  <c r="M6"/>
  <c r="M60"/>
  <c r="M35"/>
  <c r="M79"/>
  <c r="M49"/>
  <c r="M86"/>
  <c r="M24"/>
  <c r="M29"/>
  <c r="M41"/>
  <c r="B94" i="11"/>
  <c r="M86" s="1"/>
  <c r="L73"/>
  <c r="L68"/>
  <c r="L60"/>
  <c r="J58"/>
  <c r="L49"/>
  <c r="L41"/>
  <c r="L29"/>
  <c r="L24"/>
  <c r="J22"/>
  <c r="L17"/>
  <c r="K15"/>
  <c r="J15"/>
  <c r="M17" l="1"/>
  <c r="M60"/>
  <c r="M68"/>
  <c r="M24"/>
  <c r="M41"/>
  <c r="M29"/>
  <c r="M9"/>
  <c r="M54"/>
  <c r="M93" i="12"/>
  <c r="M73" i="11"/>
  <c r="M6"/>
  <c r="M35"/>
  <c r="M79"/>
  <c r="M49"/>
  <c r="M93" l="1"/>
  <c r="B94" i="10"/>
  <c r="M86" s="1"/>
  <c r="L79"/>
  <c r="L73"/>
  <c r="L68"/>
  <c r="L60"/>
  <c r="J58"/>
  <c r="J57"/>
  <c r="J56"/>
  <c r="L49"/>
  <c r="L41"/>
  <c r="J33"/>
  <c r="L29"/>
  <c r="J27"/>
  <c r="L24"/>
  <c r="J22"/>
  <c r="L17"/>
  <c r="K15"/>
  <c r="J15"/>
  <c r="L9"/>
  <c r="J7"/>
  <c r="L6"/>
  <c r="L79" i="1"/>
  <c r="L6"/>
  <c r="J7"/>
  <c r="J84"/>
  <c r="L86"/>
  <c r="J58"/>
  <c r="L73"/>
  <c r="L68"/>
  <c r="L60"/>
  <c r="L49"/>
  <c r="L41"/>
  <c r="L29"/>
  <c r="J22"/>
  <c r="L17"/>
  <c r="L9"/>
  <c r="B94"/>
  <c r="M54" s="1"/>
  <c r="J15"/>
  <c r="K15"/>
  <c r="L24"/>
  <c r="M54" i="10" l="1"/>
  <c r="M9"/>
  <c r="M6"/>
  <c r="M24"/>
  <c r="M35"/>
  <c r="M29"/>
  <c r="M60"/>
  <c r="M68"/>
  <c r="M41"/>
  <c r="M73"/>
  <c r="M24" i="1"/>
  <c r="M17" i="10"/>
  <c r="M49"/>
  <c r="M79"/>
  <c r="M6" i="1"/>
  <c r="M9"/>
  <c r="M17"/>
  <c r="M29"/>
  <c r="M41"/>
  <c r="M49"/>
  <c r="M60"/>
  <c r="M68"/>
  <c r="M73"/>
  <c r="M86"/>
  <c r="M79"/>
  <c r="M35"/>
  <c r="M93" i="10" l="1"/>
  <c r="M93" i="1"/>
  <c r="J91" i="12"/>
  <c r="K20" i="15"/>
</calcChain>
</file>

<file path=xl/sharedStrings.xml><?xml version="1.0" encoding="utf-8"?>
<sst xmlns="http://schemas.openxmlformats.org/spreadsheetml/2006/main" count="3859" uniqueCount="401">
  <si>
    <t xml:space="preserve">    รายงานผลการปฏิบัติราชการตามตัวชี้วัดตามคำรับรองการปฏิบัติราชการ</t>
  </si>
  <si>
    <t>ตัวชี้วัด</t>
  </si>
  <si>
    <t>น้ำหนัก</t>
  </si>
  <si>
    <t>เป้าหมาย / เกณฑ์การให้คะแนน</t>
  </si>
  <si>
    <t>ผลการดำเนินงาน</t>
  </si>
  <si>
    <t>ค่าคะแนนที่ได้</t>
  </si>
  <si>
    <t>ค่าคะแนนเฉลี่ย</t>
  </si>
  <si>
    <t>ผลการปฏิบัติราชการ</t>
  </si>
  <si>
    <t>(%)</t>
  </si>
  <si>
    <t>ถ่วงน้ำหนัก</t>
  </si>
  <si>
    <t xml:space="preserve">สพญ-01 ปริมาณน้ำเก็บกักที่เพิ่มขึ้น </t>
  </si>
  <si>
    <t>-</t>
  </si>
  <si>
    <t>(ล้าน ลบ.ม.)</t>
  </si>
  <si>
    <t>สพญ-02 พื้นที่ชลประทานที่เพิ่มขึ้น</t>
  </si>
  <si>
    <t>โครงการ</t>
  </si>
  <si>
    <t>พื้นที่ ชป.ที่เพิ่มขึ้น (ไร่)</t>
  </si>
  <si>
    <t>(ไร่)</t>
  </si>
  <si>
    <t>แผนงาน</t>
  </si>
  <si>
    <t>ผลงาน</t>
  </si>
  <si>
    <t>โครงการกิ่วคอหมา</t>
  </si>
  <si>
    <t>รวม</t>
  </si>
  <si>
    <t>ก่อสร้างอาคารชลประทาน</t>
  </si>
  <si>
    <t>สพญ-05 ร้อยละของโครงการที่</t>
  </si>
  <si>
    <t>สามารถเตรียมความพร้อมในการ</t>
  </si>
  <si>
    <t>ก่อสร้างเสร็จตามแผน</t>
  </si>
  <si>
    <t>สพญ-06 ร้อยละของงานจัดหาที่ดิน</t>
  </si>
  <si>
    <t>ที่แล้วเสร็จตามแผน</t>
  </si>
  <si>
    <t>สพญ-07 ร้อยละของกิจกรรมการ</t>
  </si>
  <si>
    <t>จัดมวลชนสัมพันธ์ในระยะระหว่าง</t>
  </si>
  <si>
    <t>1.00-</t>
  </si>
  <si>
    <t>1.51 -</t>
  </si>
  <si>
    <t>2.01-</t>
  </si>
  <si>
    <t>2.51-</t>
  </si>
  <si>
    <t>3.01-</t>
  </si>
  <si>
    <t>ล้านบาท</t>
  </si>
  <si>
    <t>คิดเป็น</t>
  </si>
  <si>
    <t>สำนัก/กอง</t>
  </si>
  <si>
    <t xml:space="preserve"> ผอป. 3-1/2556</t>
  </si>
  <si>
    <t>ไร่</t>
  </si>
  <si>
    <t xml:space="preserve"> ไร่</t>
  </si>
  <si>
    <t xml:space="preserve"> จังหวัดชลบุรี </t>
  </si>
  <si>
    <t>โครงการระบบส่งน้ำ</t>
  </si>
  <si>
    <t>ประตูระบายน้ำ</t>
  </si>
  <si>
    <t>บ้านหนองบึง</t>
  </si>
  <si>
    <t>ผู้รับบริการภายใน</t>
  </si>
  <si>
    <t>สำนักพัฒนาแหล่งน้ำขนาดใหญ่  ปีงบประมาณ พ.ศ.2556</t>
  </si>
  <si>
    <t xml:space="preserve"> สำนักพัฒนาแหล่งน้ำขนาดใหญ่ ได้ส่งแบบสอบถาม</t>
  </si>
  <si>
    <t xml:space="preserve"> ให้สำนักต่างๆในส่วนกลางที่มีการติดต่อประสานงาน </t>
  </si>
  <si>
    <t xml:space="preserve"> และสำนักชลประทานที่รับมอบโครงการก่อสร้าง</t>
  </si>
  <si>
    <t xml:space="preserve"> ไปดำเนินการส่งน้ำ-บำรุงรักษาต่อ </t>
  </si>
  <si>
    <t xml:space="preserve"> ระดับความพึงพอใจของผู้รับบริการ</t>
  </si>
  <si>
    <t>%</t>
  </si>
  <si>
    <t>สพญ-03 ระดับความพึงพอใจของ</t>
  </si>
  <si>
    <t>สพญ-04 ร้อยละความสำเร็จในการ</t>
  </si>
  <si>
    <t xml:space="preserve">ค่าเฉลี่ย </t>
  </si>
  <si>
    <t xml:space="preserve"> ของสำนักงานก่อสร้าง ๑-๑๔ ประจำปีงบประมาณ พ.ศ. ๒๕๕6 </t>
  </si>
  <si>
    <t xml:space="preserve">ผลงานสะสม </t>
  </si>
  <si>
    <t xml:space="preserve"> โครงการที่สามารถเตรียมความพร้อมในการก่อสร้าง</t>
  </si>
  <si>
    <t xml:space="preserve"> เสร็จตามแผนงาน คำนวณจากผลการเบิกจ่ายงบประมาณ</t>
  </si>
  <si>
    <t xml:space="preserve"> ประจำปีงบประมาณ พ.ศ. ๒๕๕6</t>
  </si>
  <si>
    <t>ก่อสร้าง ที่ดำเนินการได้ตามแผน</t>
  </si>
  <si>
    <t>ครั้ง</t>
  </si>
  <si>
    <t xml:space="preserve"> ผลการจัดกิจกรรมมวลชนสัมพันธ์ของสำนักงานก่อสร้าง1 - 14</t>
  </si>
  <si>
    <t xml:space="preserve"> คำนวณจากจำนวนครั้งของผลการจัดกิจกรรมสะสม เทียบกับ</t>
  </si>
  <si>
    <t xml:space="preserve"> จำนวนครั้งของแผนการจัดกิจกรรมมวลชนสัมพันธ์</t>
  </si>
  <si>
    <t xml:space="preserve"> ประจำปีงบประมาณพ.ศ.๒๕๕6</t>
  </si>
  <si>
    <t>แผนการจัดกิจกรรม</t>
  </si>
  <si>
    <t>ผลการจัดกิจกรรม</t>
  </si>
  <si>
    <t>สพญ-08 ร้อยละของการจัดทำโครงการ</t>
  </si>
  <si>
    <t>วิจัยและพัฒนาที่แล้วเสร็จตามแผนงาน</t>
  </si>
  <si>
    <t xml:space="preserve">ก่อน </t>
  </si>
  <si>
    <t>15 กย</t>
  </si>
  <si>
    <t>1 กย.</t>
  </si>
  <si>
    <t xml:space="preserve"> ผลงานจัดหาที่ดินที่แล้วเสร็จของสำนักงานก่อสร้าง 1 - 14</t>
  </si>
  <si>
    <t xml:space="preserve"> คำนวณจาก จำนวนเงินที่ได้รับอนุมัติตามบัญชีขออนุมัติจ่ายเงิน</t>
  </si>
  <si>
    <t xml:space="preserve"> ค่าทดแทนทรัพย์สิน เทียบกับ จำนวนเงินงบประมาณค่าทดแทน</t>
  </si>
  <si>
    <t xml:space="preserve"> ทรัพย์สินที่ได้รับจัดสรร ประจำปีงบประมาณ พ.ศ. ๒๕๕6</t>
  </si>
  <si>
    <t xml:space="preserve"> ค่าเตรียมความพร้อม ของสำนักงานก่อสร้าง ๑-๑๔ </t>
  </si>
  <si>
    <t xml:space="preserve"> ผลงานโครงการวิจัยและพัฒนา สำนักพัฒนาแหล่งน้ำขนาดใหญ่</t>
  </si>
  <si>
    <t xml:space="preserve"> คำนวณจากผลการปรับปรุงกระบวนงานพัฒนาแหล่งน้ำ  </t>
  </si>
  <si>
    <t xml:space="preserve"> ประจำปีงบประมาณ พ.ศ.2556</t>
  </si>
  <si>
    <t xml:space="preserve">คิดเป็นผลงานสะสม </t>
  </si>
  <si>
    <t xml:space="preserve"> ผลงานก่อสร้างของหน่วยงานในสำนักพัฒนาแหล่งน้ำขนาดใหญ่</t>
  </si>
  <si>
    <t>คำนวณจากความสำเร็จของผลงานเมื่อเทียบกับแผนงานก่อสร้าง</t>
  </si>
  <si>
    <t>สพญ-09 ร้อยละของอัตราการเบิกจ่าย</t>
  </si>
  <si>
    <t xml:space="preserve">งบประมาณรายจ่ายลงทุน </t>
  </si>
  <si>
    <t>ผลการเบิกจ่าย</t>
  </si>
  <si>
    <t xml:space="preserve">ได้รับจัดสรรงบลงทุน </t>
  </si>
  <si>
    <t xml:space="preserve">คิดเป็นผลสะสม </t>
  </si>
  <si>
    <t>สพญ-10 ร้อยละเฉลี่ยของข้าราชการ</t>
  </si>
  <si>
    <t>สำนักที่ผ่านการประเมินสมรรถนะ</t>
  </si>
  <si>
    <t>ในระดับที่องค์กร คาดหวัง</t>
  </si>
  <si>
    <t xml:space="preserve"> คำนวณผลจากจำนวนข้าราชการของหน่วยงานภายในสำนัก</t>
  </si>
  <si>
    <t xml:space="preserve"> พัฒนาแหล่งน้ำขนาดใหญ่ ที่มีผลการประเมินสมรรถนะเท่ากับ</t>
  </si>
  <si>
    <t xml:space="preserve"> หรือมากกว่าระดับที่องค์กรคาดหวัง เทียบกับจำนวนข้าราชการ</t>
  </si>
  <si>
    <t xml:space="preserve"> ที่มีการประเมิน</t>
  </si>
  <si>
    <t>คน</t>
  </si>
  <si>
    <t>จำนวนที่ประเมิน</t>
  </si>
  <si>
    <t>จำนวนที่ผ่านเกณฑ์</t>
  </si>
  <si>
    <t xml:space="preserve"> ผลการเบิกจ่ายงบประมาณรายจ่ายงบลงทุน ของหน่วยงานใน</t>
  </si>
  <si>
    <t xml:space="preserve"> สำนักพัฒนาแหล่งน้ำขนาดใหญ่ ประจำปีงบประมาณ พ.ศ. ๒๕๕6</t>
  </si>
  <si>
    <t>สพญ-11 ร้อยละของระดับความพึงพอใจ</t>
  </si>
  <si>
    <t>ของบุคลากรต่อการปฏิบัติงาน</t>
  </si>
  <si>
    <t xml:space="preserve"> สำนักบริหารงานบุคคลสำรวจความพึงพอใจของบุคลากร</t>
  </si>
  <si>
    <t xml:space="preserve"> ต่อการปฎิบัติงาน  ประกอบด้วยมิติ ด้านการทำงาน</t>
  </si>
  <si>
    <t xml:space="preserve"> มิติด้านสังคม  มิติด้านส่วนตัว และมิติด้านเศษฐกิจ</t>
  </si>
  <si>
    <t>สพญ-12 ค่าเฉลี่ยคะแนนการตรวจ</t>
  </si>
  <si>
    <t>ประเมินการจัดการความรู้ (KMA)</t>
  </si>
  <si>
    <t xml:space="preserve"> คะแนนการตรวจประเมินการจัดการความรู้ (KMA)  </t>
  </si>
  <si>
    <t xml:space="preserve"> ของสำนัก/กอง หมวด 1-หมวด 6  โดยการตรวจ</t>
  </si>
  <si>
    <t xml:space="preserve"> ประเมินจากหลักฐานที่แสดงบนเว็บคลังความรู้</t>
  </si>
  <si>
    <t xml:space="preserve"> ของสำนัก/กอง ประจำปีงบประมาณ พ.ศ. ๒๕๕6</t>
  </si>
  <si>
    <t>ผลการตรวจประเมิน</t>
  </si>
  <si>
    <t xml:space="preserve"> ผลความพึงพอใจ</t>
  </si>
  <si>
    <t>ผลระดับคะแนน</t>
  </si>
  <si>
    <t>สพญ-14 ร้อยละของการบันทึกข้อมูล</t>
  </si>
  <si>
    <t>ในระบบติดตาม Online</t>
  </si>
  <si>
    <t xml:space="preserve"> วัดความครบถ้วนในการบันทึกข้อมูล ของสำนักงานก่อสร้าง 1-14 </t>
  </si>
  <si>
    <t xml:space="preserve"> ประกอบด้วย การบันทึกข้อมูลทั่วไป กระบวนการจัดซื้อจัดจ้าง </t>
  </si>
  <si>
    <t xml:space="preserve"> ปัญหาอุปสรรค การเบิกจ่ายงบประมาณ แผน/ผลการปฏิบัติงาน </t>
  </si>
  <si>
    <t xml:space="preserve"> และการบันทึกรูปภาพก่อน ระหว่าง และหลังงานก่อสร้างแล้วเสร็จ </t>
  </si>
  <si>
    <t xml:space="preserve"> โดยวัดจากจำนวนช่องที่บันทึก เทียบกับ ช่องรายการทั้งหมด</t>
  </si>
  <si>
    <t xml:space="preserve"> ผลการวัด</t>
  </si>
  <si>
    <t xml:space="preserve"> วัดความครบถ้วนในการจัดทำเว็บไซต์ ของหน่วยงานภายใน</t>
  </si>
  <si>
    <t xml:space="preserve"> สำนักพัฒนาแหล่งน้ำขนาดใหญ่ตามเกณฑ์การจัดทำเว็บไซต์</t>
  </si>
  <si>
    <t xml:space="preserve"> กำหนดโดยศูนย์เทคโนโลยี่สารสนเทศและการสื่อสาร</t>
  </si>
  <si>
    <t xml:space="preserve"> โดยวัดจากจำนวนฐานข้อมูลที่จัดทำ เทียบกับจำนวนข้อมูล</t>
  </si>
  <si>
    <t xml:space="preserve"> ตามเกณฑ์การจัดทำเว็บไซต์</t>
  </si>
  <si>
    <t xml:space="preserve"> ผลการดำเนินงาน โครงการอ่างเก็บน้ำคลองหลวง </t>
  </si>
  <si>
    <t xml:space="preserve">                                                                                                                       ค่าคะแนนเฉลี่ยถ่วงน้ำหนักรวม</t>
  </si>
  <si>
    <r>
      <rPr>
        <b/>
        <sz val="18"/>
        <color indexed="12"/>
        <rFont val="TH SarabunIT๙"/>
        <family val="2"/>
      </rPr>
      <t xml:space="preserve">รอบระยะเวลา  7  เดือน  ๑ ตุลาคม ๒๕๕5  ถึง  ๓0 เมษายน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</si>
  <si>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r>
      <rPr>
        <b/>
        <sz val="18"/>
        <color indexed="12"/>
        <rFont val="TH SarabunIT๙"/>
        <family val="2"/>
      </rPr>
      <t xml:space="preserve">รอบระยะเวลา  6  เดือน  ๑ ตุลาคม ๒๕๕5  ถึง  ๓1 มีนาคม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</si>
  <si>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t>สพญ-13 คุณภาพเว็บไซต์ของ</t>
  </si>
  <si>
    <r>
      <rPr>
        <b/>
        <sz val="18"/>
        <color indexed="12"/>
        <rFont val="TH SarabunIT๙"/>
        <family val="2"/>
      </rPr>
      <t xml:space="preserve">รอบระยะเวลา  8  เดือน  ๑ ตุลาคม ๒๕๕5  ถึง  ๓1 พฤษภาคม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</si>
  <si>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t xml:space="preserve">รอบระยะเวลา  9  เดือน  ๑ ตุลาคม ๒๕๕5  ถึง  ๓0 มิถุนายน ๒๕๕6                                                                                                  </t>
  </si>
  <si>
    <t xml:space="preserve">รอบระยะเวลา  10  เดือน  ๑ ตุลาคม ๒๕๕5  ถึง  ๓1 กรกฎาคม ๒๕๕6                                                                                                  </t>
  </si>
  <si>
    <t xml:space="preserve">รอบระยะเวลา  11  เดือน  ๑ ตุลาคม ๒๕๕5  ถึง  ๓1 สิงหาคม ๒๕๕6                                                                                                  </t>
  </si>
  <si>
    <t>15 ก.ย.</t>
  </si>
  <si>
    <t>1 ก.ย.</t>
  </si>
  <si>
    <t>ค่าคะแนนเฉลี่ยถ่วงน้ำหนักรวม</t>
  </si>
  <si>
    <t>จ.ลำปาง</t>
  </si>
  <si>
    <t>ผู้รับบริการภายในของสำนักพัฒนาแหล่งน้ำขนาดใหญ่</t>
  </si>
  <si>
    <t>ได้แก่ สำนัก/กองและหน่วยงานภายในกรมชลประทานที่มีการติดต่อปะสานงาน</t>
  </si>
  <si>
    <t>กับสำนักพัฒนาแหล่งน้ำขนาดใหญ่รวมทั้งสำนักงานชลประทานต่างๆ</t>
  </si>
  <si>
    <t>ที่รับมอบโครงการก่อสร้างจากสำนักพัฒนาแหล่งน้ำขนาดใหญ่</t>
  </si>
  <si>
    <t>ที่พอใจต่อการปฏิบัติงาน</t>
  </si>
  <si>
    <t xml:space="preserve"> ของสำนัก/กอง หมวด 1-หมวด 7  โดยการตรวจ</t>
  </si>
  <si>
    <t xml:space="preserve"> ค่าเตรียมความพร้อม ของสำนักงานก่อสร้างชลประทานขนาดใหญ่ที่ 1-13</t>
  </si>
  <si>
    <t xml:space="preserve"> ผลงานจัดหาที่ดินที่แล้วเสร็จของสำนักงานก่อสร้างชลประทานขนาดใหญ่ที่ </t>
  </si>
  <si>
    <t xml:space="preserve"> 1 - 13 คำนวณจาก จำนวนเงินที่ได้รับอนุมัติตามบัญชีขออนุมัติจ่ายเงิน</t>
  </si>
  <si>
    <t xml:space="preserve"> ผลการจัดกิจกรรมมวลชนสัมพันธ์ของสำนักงานก่อสร้างชลประทานขนาดใหญ่ที่ </t>
  </si>
  <si>
    <t>และพัฒนาที่แล้วเสร็จตามแผนงาน</t>
  </si>
  <si>
    <t xml:space="preserve"> ผลงานโครงการวิจัยและพัฒนา ของสำนักงานก่อสร้างชลประทานขนาดใหญ่ที่ </t>
  </si>
  <si>
    <t xml:space="preserve"> 1-13 คำนวณจากความก้าวหน้าการจัดทำโครงการ</t>
  </si>
  <si>
    <t xml:space="preserve"> 1-13 คำนวณจากจำนวนครั้งของผลการจัดกิจกรรมสะสม เทียบกับ</t>
  </si>
  <si>
    <t>(ประเมินโดยสำนักบริหารทรัพยากรบุคคล)</t>
  </si>
  <si>
    <t xml:space="preserve"> สำนักบริหารทรัพยากรบุคคลสำรวจความพึงพอใจของบุคลากร</t>
  </si>
  <si>
    <t xml:space="preserve"> วัดความครบถ้วนในการบันทึกข้อมูล ของสำนักงานก่อสร้างชลประทาน</t>
  </si>
  <si>
    <t xml:space="preserve"> ขนาดใหญ่ที่ 1-13 ประกอบด้วย การบันทึกข้อมูลทั่วไป กระบวนการ </t>
  </si>
  <si>
    <t>สพญ-01 ปริมาณน้ำเก็บกักที่เพิ่มขึ้น</t>
  </si>
  <si>
    <t>ปริมาณน้ำเก็บกักที่เพิ่มขึ้น (ล้าน ลบ.ม.)</t>
  </si>
  <si>
    <t>(ร้อยละ)</t>
  </si>
  <si>
    <t>โครงการอ่างเก็บน้ำมวกเหล็ก</t>
  </si>
  <si>
    <t>จ.สระบุรี</t>
  </si>
  <si>
    <t xml:space="preserve">  </t>
  </si>
  <si>
    <t>สพญ-02 จำนวนพื้นที่ชลประทาน</t>
  </si>
  <si>
    <t>ที่เพิ่มขึ้น (ไร่)</t>
  </si>
  <si>
    <t>โครงการชลประทานระบบส่งน้ำ</t>
  </si>
  <si>
    <t>บ้านเขายายพริ้ง จ.ระยอง</t>
  </si>
  <si>
    <t>สพญ-03 ร้อยละความพึงพอใจของ</t>
  </si>
  <si>
    <t xml:space="preserve"> ระดับความพึงพอใจของผู้รับบริการภายใน</t>
  </si>
  <si>
    <t>ผลงานก่อสร้างของหน่วยงานในสำนักพัฒนาแหล่งน้ำขนาดใหญ่</t>
  </si>
  <si>
    <t>ของสำนักงานก่อสร้างชลประทานขนาดใหญ่ที่ 1-13 ประจำปีงบประมาณ</t>
  </si>
  <si>
    <t xml:space="preserve"> พ.ศ. 2559</t>
  </si>
  <si>
    <t>ผลงานสะสม</t>
  </si>
  <si>
    <t>สพญ-05 ร้อยละของการก่อสร้าง</t>
  </si>
  <si>
    <t>ผลงานการก่อสร้างงานป้องกันและบรรเทาอุทกภัย</t>
  </si>
  <si>
    <t>งานป้องกันและบรรเทาอุทกภัยตามแผน</t>
  </si>
  <si>
    <t>ของหน่วยงานในสำนักพัฒนาแหล่งน้ำขนาดใหญ่</t>
  </si>
  <si>
    <t>สพญ-06 ร้อยละของโครงการที่</t>
  </si>
  <si>
    <t xml:space="preserve"> ประจำปีงบประมาณ พ.ศ. 2559</t>
  </si>
  <si>
    <t>สพญ-07 ร้อยละของงานจัดหาที่ดิน</t>
  </si>
  <si>
    <t xml:space="preserve"> ทรัพย์สินที่ได้รับจัดสรร ประจำปีงบประมาณ พ.ศ. 2559</t>
  </si>
  <si>
    <t>สพญ-08 ร้อยละของกิจกรรมการ</t>
  </si>
  <si>
    <t>สพญ-09 ร้อยละของการศึกษาหรือวิจัย</t>
  </si>
  <si>
    <t>สพญ-10 ร้อยละของอัตราการเบิกจ่าย</t>
  </si>
  <si>
    <t xml:space="preserve"> ผลการเบิกจ่ายงบประมาณรายจ่ายงบลงทุน ของสำนักงานก่อสร้าง</t>
  </si>
  <si>
    <t>บาท</t>
  </si>
  <si>
    <t xml:space="preserve">ผลการเบิกจ่ายสะสม </t>
  </si>
  <si>
    <t xml:space="preserve">คิดเป็น </t>
  </si>
  <si>
    <t>สพญ-11 ร้อยละของบุคลากร</t>
  </si>
  <si>
    <t xml:space="preserve"> ของสำนัก/กอง ประจำปีงบประมาณ พ.ศ. 2559</t>
  </si>
  <si>
    <t xml:space="preserve">สำนัก/กอง  </t>
  </si>
  <si>
    <t>(ประเมินโดยกองแผนงาน)</t>
  </si>
  <si>
    <t xml:space="preserve"> โดยวัดจากจำนวนช่องที่บันทึก เทียบกับ ช่องรายการทั้งหมด จำนวน 2 รอบการประเมิน</t>
  </si>
  <si>
    <t xml:space="preserve"> ผลการประเมินรอบที่ 1 =</t>
  </si>
  <si>
    <t xml:space="preserve"> ชลประทานขนาดใหญ่ที่ 1-13  ประจำปีงบประมาณ พ.ศ. 2559</t>
  </si>
  <si>
    <t xml:space="preserve"> จัดซื้อจัดจ้าง ปัญหาอุปสรรค การเบิกจ่ายงบประมาณ แผน/ผลการปฏิบัติงาน </t>
  </si>
  <si>
    <t xml:space="preserve"> ผตป. 3-1/2559</t>
  </si>
  <si>
    <t>พี่อ้วน</t>
  </si>
  <si>
    <t>พี่จ่า, เคน</t>
  </si>
  <si>
    <t>พี่จ่า</t>
  </si>
  <si>
    <t>พี่ตุ๋ย</t>
  </si>
  <si>
    <t>เอก, เหมียว</t>
  </si>
  <si>
    <t>โครงการสถานีสูบน้ำคลองทับมา จ.ระยอง</t>
  </si>
  <si>
    <t>โครงการสถานีสูบน้ำแม่น้ำประแสร์ จ.ระยอง</t>
  </si>
  <si>
    <t>โครงการประตูระบายน้ำท่าฉิม จ.ชลบุรี</t>
  </si>
  <si>
    <t>โครงการสถานีสูบน้ำปลายคลองระบายใหญ่ ชัยนาท - ป่าสัก2 จ.สิงห์บุรี</t>
  </si>
  <si>
    <t>โครงการสถานีสูบน้ำเจริญราษณ์ จ.สมุทรปราการ</t>
  </si>
  <si>
    <t>โครงการระบบระบายน้ำแม่น้ำตรัง จ.ตรัง</t>
  </si>
  <si>
    <t>sum  =</t>
  </si>
  <si>
    <t>(สบค. จะทำการประเมินในเดือน กันยายน 2559)</t>
  </si>
  <si>
    <t>(ฝ่ายบริหาร สพญ. จะทำการประเมินในเดือน สิงหาคม 2559)</t>
  </si>
  <si>
    <t>(คณะทำงาน KM กรมชลประทาน จะทำการประเมินในเดือน ตุลาคม 2559)</t>
  </si>
  <si>
    <t>ok</t>
  </si>
  <si>
    <t>งบประมาณที่ได้รับจัดสรร</t>
  </si>
  <si>
    <t>เบิกจ่ายสะสม</t>
  </si>
  <si>
    <t xml:space="preserve">สพญ.1 </t>
  </si>
  <si>
    <t>แผน</t>
  </si>
  <si>
    <t>ผล</t>
  </si>
  <si>
    <t>สพญ.3</t>
  </si>
  <si>
    <t>สพญ.5</t>
  </si>
  <si>
    <t>สพญ.6</t>
  </si>
  <si>
    <t>สพญ.9</t>
  </si>
  <si>
    <t>สพญ.10</t>
  </si>
  <si>
    <t>สพญ.11</t>
  </si>
  <si>
    <t>สพญ.13</t>
  </si>
  <si>
    <t>ร้อยละของการก่อสร้างงานป้องกันและบรรเทาอุกภัยภัย</t>
  </si>
  <si>
    <t>กอล์ฟ</t>
  </si>
  <si>
    <t>จัดสรร</t>
  </si>
  <si>
    <t>จ่ายสะสม</t>
  </si>
  <si>
    <t>โครงการระบบระบายน้ำปลักปลิง-จะนะ คลองนาทวี จ.สงขลา</t>
  </si>
  <si>
    <t>โครงการระบบระบายน้ำปลักปลิง-จะนะ คลองน้ำเค็ม จ.สงขลา</t>
  </si>
  <si>
    <t>สพญ</t>
  </si>
  <si>
    <t>ชื่อโครงการ</t>
  </si>
  <si>
    <t>ได้รับจัดสรร</t>
  </si>
  <si>
    <t>ผลรวม</t>
  </si>
  <si>
    <t>***</t>
  </si>
  <si>
    <t>สพญ.</t>
  </si>
  <si>
    <t>สพญ.03</t>
  </si>
  <si>
    <t>% งาน</t>
  </si>
  <si>
    <t>โครงการเพิ่มปริมาณน้ำในอ่างเก็บน้ำเขื่อนแม่กวง</t>
  </si>
  <si>
    <t>โครงการอ่างเก็บน้ำมวกเหล็ก จังหวัดสระบุรี</t>
  </si>
  <si>
    <t>โครงการระบบส่งน้ำประตูระบายน้ำน้ำก่ำตอนล่าง สถานีสูบน้ำบ้านโพนทอง จังหวัดนครพนม</t>
  </si>
  <si>
    <t>โครงการประตูระบายน้ำบ้านหนองบัวพร้อมระบบส่งน้ำ จังหวัดบึงกาฬ</t>
  </si>
  <si>
    <t>โครงการประตูระบายน้ำบ้านห้วยทรายพร้อมระบบส่งน้ำ จังหวัดนครพนม</t>
  </si>
  <si>
    <t>เดือนพฤษภาคม</t>
  </si>
  <si>
    <t>โครงการเขื่อนทดน้ำผาจุก จังหวัดอุตรดิตถ์</t>
  </si>
  <si>
    <t>โครงการฝายน้ำยาว จังหวัดน่าน</t>
  </si>
  <si>
    <t>งบประมาณที่ได้รับ</t>
  </si>
  <si>
    <t>โครงการสถานีสูบน้ำคลองทับมา จังหวัดระยอง</t>
  </si>
  <si>
    <t>โครงการประตูระบายน้ำแม่น้ำประแสร์ จังหวัดระยอง</t>
  </si>
  <si>
    <t>โครงการประตูระบายน้ำท่าฉิม จังหวัดระยอง</t>
  </si>
  <si>
    <t>โครงการระบบชลประทานส่วนขยายอ่างเก็บน้ำประแสร์ จังหวัดระยอง</t>
  </si>
  <si>
    <t>โครงการห้วยโสมงอันเนื่องมาจากพระราชดำริ จังหวัดปราจีนบุรี</t>
  </si>
  <si>
    <t>เดือนมิถุนายน</t>
  </si>
  <si>
    <t xml:space="preserve">รอบระยะเวลา  9  เดือน ระหว่าง วันที่  1 ตุลาคม 2558  ถึง วันที่  30 มิถุนายน 2559                                                                                                  </t>
  </si>
  <si>
    <t>โครงการอ่างเก็บน้ำคลองหลวง จังหวัดชลบุรี</t>
  </si>
  <si>
    <t>โครงการบรรเทาอุทกภัยเมืองจันทบุรี (แผนระยะที่2) จังหวัดจันทบุรี</t>
  </si>
  <si>
    <t>โครงการชลประทานระบบส่งน้ำบ้านเขายายพริ้ง จังหวัดระยอง</t>
  </si>
  <si>
    <t>โครงการสถานีสูบน้ำปลายคลองระบายใหญ่ ชัยนาท - ป่าสัก 2 จังหวัดสิงห์บุรี</t>
  </si>
  <si>
    <t>โครงการสถานีสูบน้ำเจริญราษฏร์ จังหวัดสมุทรปราการ</t>
  </si>
  <si>
    <t>โครงการพัฒนาลุ่มน้ำตาปี - พุมดวง จังหวัด สุราษฎร์ธานี</t>
  </si>
  <si>
    <t>โครงการสถานีสูบน้ำพร้อมระบบส่งน้ำบ้านหงษ์เจริญ จังหวัดชุมพร</t>
  </si>
  <si>
    <t>โครงการบรรเทาอุทกภัยอำเภอหาดใหญ่ (ระยะที่ 2) จังหวัดสงขลา</t>
  </si>
  <si>
    <t>โครงการระบบระบายน้ำปลักปลิง-จะนะ จังหวัดสงขลา</t>
  </si>
  <si>
    <t>โครงการระบบระบายน้ำแม่น้ำตรัง จังหวัดตรัง</t>
  </si>
  <si>
    <t>โครงการอ่างเก็บน้ำห้วยน้ำรีอันเนื่องมาจากพระราชดำริ จังหวัดอุตรดิตถ์</t>
  </si>
  <si>
    <t>โครงการประตูระบายน้ำพระอาจารย์จื่อ (ลำเชียงทา) จังหวัดชัยภูมิ</t>
  </si>
  <si>
    <t>โครงการระบบส่งน้ำโครงการอ่างเก็บน้ำห้วยตะแบง จังหวัดศรีสะเกษ</t>
  </si>
  <si>
    <t>โครงการอ่างเก็บน้ำโปร่งขุนเพชร จังหวัดชัยภูมิ</t>
  </si>
  <si>
    <t>ตัดโครงการออกไปเนื่องจากติดปัญหาอุปสรรคในการเปิดงาน</t>
  </si>
  <si>
    <t>โครงการเพิ่มประสิทธิภาพการชลประทานในลุ่มน้ำปิงตอนบน จังหวัดเชียงใหม่</t>
  </si>
  <si>
    <t>โครงการอ่างเก็บน้ำคลองมะเดื่อ จังหวัดนครนายก</t>
  </si>
  <si>
    <t>โครงการพัฒนาลุ่มน้ำห้วยหลวง จังหวัดหนองคาย-อุดรธานี</t>
  </si>
  <si>
    <t>ไม่มี</t>
  </si>
  <si>
    <t xml:space="preserve"> โครงการชลประทานพิษณุโลกฝั่งซ้าย ระยะที่2 จังหวัดพิษณุโลก</t>
  </si>
  <si>
    <t xml:space="preserve"> โครงการอ่างเก็บน้ำน้ำปี้อันเนื่องมาจากพระราชดำริ จังหวัดพะเยา</t>
  </si>
  <si>
    <t xml:space="preserve"> โครงการเพิ่มปริมาณน้ำต้นทุนเขื่อนภูมิพล จังหวัดตาก</t>
  </si>
  <si>
    <t>ลดลงจากเดือนพฤษภาคมเนื่องจากตัวเลขที่ได้รับรายงานผิดพลาด</t>
  </si>
  <si>
    <t>โครงการอ่างเก็บน้ำลำตะเพินบน จังหวัดสุพรรณบุรี และระบบเชื่อมโยงไป อ่างฯห้วยเทียน-สระเก็บน้ำหนองมะสังข์ จังหวัดกาญจนบุรี</t>
  </si>
  <si>
    <t>โครงการอ่างเก็บน้ำคลองพะวาใหญ่ จังหวัดจันทบุรี</t>
  </si>
  <si>
    <t>โครงการอ่างเก็บน้ำคลองโพล้ จังหวัดระยอง</t>
  </si>
  <si>
    <t xml:space="preserve">โครงการบรรเทาภัยจังหวัดปราจีนบุรี </t>
  </si>
  <si>
    <t xml:space="preserve"> โครงการอ่างเก็บน้ำคลองวังโตนด จังหวัดจันทบุรี</t>
  </si>
  <si>
    <t xml:space="preserve"> โครงการอ่างเก็บน้ำคลองลำรูใหญ่ จังหวัดพังงา</t>
  </si>
  <si>
    <t xml:space="preserve"> โครงการระบบส่งน้ำประตูระบายน้ำท่าแซะ จังหวัดชุมพร</t>
  </si>
  <si>
    <t xml:space="preserve"> โครงการวังหีบอันเนื่องมาจากพระราชดำริ จังหวัดนครศรีธรรมราช</t>
  </si>
  <si>
    <t>โครงการบรรเทาอุทกภัยเมืองนครศรีธรรมราช จังหวัดนครศรีธรรมราช</t>
  </si>
  <si>
    <t xml:space="preserve">โครงการประตูระบายน้ำศรีสองรัก จังหวัดเลย </t>
  </si>
  <si>
    <t xml:space="preserve"> โครงการอ่างเก็บน้ำพระอาจารย์จื่อ(ลำกระจวน) จังหวัดชัยภูมิ</t>
  </si>
  <si>
    <t>โครงการอ่างเก็บน้ำลำสะพุงอันเนื่องมาจากพระราชดำริ จังหวัดชัยภูมิ</t>
  </si>
  <si>
    <t>โครงการป้องกันน้ำท่วมเมืองชัยภูมิ จังหวัดชัยภูมิ</t>
  </si>
  <si>
    <t xml:space="preserve"> โครงการเพิ่มพื้นที่ชลประทาน โครงการส่งน้ำและบำรุงรักษาลำปาว จังหวัดกาฬสินธุ์</t>
  </si>
  <si>
    <t xml:space="preserve"> โครงการพัฒนาพื้นที่ชลประทานบริเวณลุ่มน้ำมูลตอนล่าง จังหวัดอุบลราชธานี</t>
  </si>
  <si>
    <t>สพญ-07</t>
  </si>
  <si>
    <t>ระบบติดตาม online 30 มิ.ย. 59</t>
  </si>
  <si>
    <t>กองแผนงาน</t>
  </si>
  <si>
    <t>สำนักพัฒนาแหล่งน้ำขนาดใหญ่  ปีงบประมาณ พ.ศ.2559 ครั้งที่ 4/2559</t>
  </si>
  <si>
    <t>GFMIS</t>
  </si>
  <si>
    <t>สพญ.7</t>
  </si>
  <si>
    <t>สพญ.8</t>
  </si>
  <si>
    <t>EIMP</t>
  </si>
  <si>
    <t>สพญ.12</t>
  </si>
  <si>
    <t>สพญ.4</t>
  </si>
  <si>
    <t>งบปกติ</t>
  </si>
  <si>
    <t>งบวิทยุ</t>
  </si>
  <si>
    <t>งบสื่อประชาสัมพันธ์</t>
  </si>
  <si>
    <t>ยุวชลกร</t>
  </si>
  <si>
    <t xml:space="preserve"> </t>
  </si>
  <si>
    <t>(งบปกติ+EIMP+ยุวชลกร)</t>
  </si>
  <si>
    <t>ส่วนวิศวกรรม สำนักพัฒนาแหล่งน้ำขนาดใหญ่  ปีงบประมาณ พ.ศ.2559 ครั้งที่ 4/2559</t>
  </si>
  <si>
    <t xml:space="preserve">รอบระยะเวลา  9  เดือน ระหว่าง วันที่  1 ตุลาคม 2558  ถึง วันที่  30 มิถุนายน 2559                                                                                                   </t>
  </si>
  <si>
    <t>สพญ-05 ร้อยละของการก่อสร้างงานป้องกันและบรรเทาสาธารณภัย</t>
  </si>
  <si>
    <t>โครงการระบบระบายน้ำปลักปลิง-จะนะ จ.สงขลา</t>
  </si>
  <si>
    <t>งบที่ได้รับจัดสรร</t>
  </si>
  <si>
    <t>สพญ-15 ร้อยละของการจัดส่งรายงาน</t>
  </si>
  <si>
    <t>การจัดส่งรายงานจำนวน 6 รายงาน ซึ่งต้องจัดส่งให้สำนักพัฒนาแหล่งน้ำ</t>
  </si>
  <si>
    <t>ตามกรอบเวลาที่กำหนด</t>
  </si>
  <si>
    <t>ขนาดใหญ่เป็นรายเดือน รายไตรมาส และรายปีได้ทันตามกรอบเวลาที่กำหนด</t>
  </si>
  <si>
    <t>ส่วนติดตามและประเมินผล สำนักพัฒนาแหล่งน้ำขนาดใหญ่  ปีงบประมาณ พ.ศ.2559 ครั้งที่ 4/2559</t>
  </si>
  <si>
    <t xml:space="preserve">รอบระยะเวลา  9  เดือน ระหว่าง วันที่  1 ตุลาคม 2558  ถึง วันที่  30 มิถุนายน 2559     </t>
  </si>
  <si>
    <t>ฝ่ายบริหาร สำนักพัฒนาแหล่งน้ำขนาดใหญ่  ปีงบประมาณ พ.ศ.2559 ครั้งที่ 4/2559</t>
  </si>
  <si>
    <t>สำนักงานก่อสร้างชลประทานขนาดใหญ่ที่ 1 สำนักพัฒนาแหล่งน้ำขนาดใหญ่  ปีงบประมาณ พ.ศ.2559 ครั้งที่ 4/2559</t>
  </si>
  <si>
    <t>งบจัดสรร</t>
  </si>
  <si>
    <t>ครั้ง (งบปกติ)</t>
  </si>
  <si>
    <t>ครั้ง (งบ EIMP)</t>
  </si>
  <si>
    <t>สำนักงานก่อสร้างชลประทานขนาดใหญ่ที่ 2 สำนักพัฒนาแหล่งน้ำขนาดใหญ่  ปีงบประมาณ พ.ศ.2559 ครั้งที่ 4/2559</t>
  </si>
  <si>
    <t xml:space="preserve">รอบระยะเวลา  9  เดือน ระหว่าง วันที่  1 ตุลาคม 2558  ถึง วันที่  30 มิถุนายน 2559                                                                                          </t>
  </si>
  <si>
    <t>no</t>
  </si>
  <si>
    <t>เบิกจ่าย</t>
  </si>
  <si>
    <t>เคน</t>
  </si>
  <si>
    <t>ส่วนติดตาม</t>
  </si>
  <si>
    <t>ข้อมูลจากระบบติดตาม online ณ วันที่ 3 มิถุนายน 2559</t>
  </si>
  <si>
    <t>งบประมาณรายจ่ายลงทุน</t>
  </si>
  <si>
    <t>สำนักงานก่อสร้างชลประทานขนาดใหญ่ที่ 3 สำนักพัฒนาแหล่งน้ำขนาดใหญ่  ปีงบประมาณ พ.ศ.2559 ครั้งที่ 4/2559</t>
  </si>
  <si>
    <t>1. โครงการระบบส่งน้ำประตูระบายน้ำน้ำก่ำตอนล่าง สถานีสูบน้ำบ้านโพนทอง จังหวัดนครพนม</t>
  </si>
  <si>
    <t>2. โครงการประตูระบายน้ำบ้านหนองบัวพร้อมระบบส่งน้ำ จังหวัดนครพนม</t>
  </si>
  <si>
    <t>3. โครงการประตูระบายน้ำบ้านห้วทรายพร้อมระบบส่งน้ำ จังหวัดนครพนม</t>
  </si>
  <si>
    <t>โครงการพัฒนาลุ่มน้ำห้วยหลวง จังหวัดหนองคาย-อุดรธานี(LS)</t>
  </si>
  <si>
    <t>สบค.</t>
  </si>
  <si>
    <t>สำนักงานก่อสร้างชลประทานขนาดใหญ่ที่ 4 สำนักพัฒนาแหล่งน้ำขนาดใหญ่  ปีงบประมาณ พ.ศ.2559 ครั้งที่ 4/2559</t>
  </si>
  <si>
    <t>ผาจุก จังหวัดอุตรดิตถ์</t>
  </si>
  <si>
    <t>(งบ EIMP)</t>
  </si>
  <si>
    <t>สำนักงานก่อสร้างชลประทานขนาดใหญ่ที่ 5 สำนักพัฒนาแหล่งน้ำขนาดใหญ่  ปีงบประมาณ พ.ศ.2559 ครั้งที่ 4/2559</t>
  </si>
  <si>
    <t>โครงการฝายน้ำยาวจังหวัดน่าน</t>
  </si>
  <si>
    <t>1.โครงการระบบส่งน้ำพิษณุโลกฝั่งซ้าย ระยะที่ 2 จังหวัดพิษณุโลก</t>
  </si>
  <si>
    <t xml:space="preserve">2.โครงการอ่างเก็บน้ำน้ำปี้ จังหวัดพะเยา </t>
  </si>
  <si>
    <t xml:space="preserve">3.โครงการเพิ่มปริมาณน้ำต้นทุนเขื่อนภุมิพล จังหวัดตาก </t>
  </si>
  <si>
    <t>sum</t>
  </si>
  <si>
    <t>พี่จ่าชัยรัตน์</t>
  </si>
  <si>
    <t>(งบปกติ)</t>
  </si>
  <si>
    <t>เอก เหมียว</t>
  </si>
  <si>
    <t>สำนักงานก่อสร้างชลประทานขนาดใหญ่ที่ 6 สำนักพัฒนาแหล่งน้ำขนาดใหญ่  ปีงบประมาณ พ.ศ.2559 ครั้งที่ 4/2559</t>
  </si>
  <si>
    <t>1.โครงการสถานีสูบน้ำคลองทับมา จังหวัดระยอง</t>
  </si>
  <si>
    <t>2.โครงการประตูระบายน้ำประแสร์ จังหวัดระยอง</t>
  </si>
  <si>
    <t>3.โครงการระบบชลประทานส่วนขยายอ่างเก็บน้ำประแสร์</t>
  </si>
  <si>
    <t>4.ประตูระบายน้ำท่าฉิม จังหวัดชลบุรี</t>
  </si>
  <si>
    <t>1.โครงการอ่างเก็บน้ำพะวาใหญ่ จังหวัดจันทบุรี</t>
  </si>
  <si>
    <t>2.โครงการอ่างเก็บน้ำคลองโพล้ จังหวัดระยอง</t>
  </si>
  <si>
    <t>3.โครงการบรรเทาอุทกภัยจังหวัดปราจีนบุรี</t>
  </si>
  <si>
    <t>สำนักงานก่อสร้างชลประทานขนาดใหญ่ที่ 7 สำนักพัฒนาแหล่งน้ำขนาดใหญ่  ปีงบประมาณ พ.ศ.2559 ครั้งที่ 4/2559</t>
  </si>
  <si>
    <t xml:space="preserve">รอบระยะเวลา  9  เดือน ระหว่าง วันที่  1 ตุลาคม 2558  ถึง วันที่  30 มิถุนายน 2559                                                                                            </t>
  </si>
  <si>
    <t>1.โครงการห้วยโสมงอันเนื่องมาจากพระราชดำริ จังหวัดปราจีนบุรี</t>
  </si>
  <si>
    <t>งบ(EIMP)</t>
  </si>
  <si>
    <t>สำนักงานก่อสร้างชลประทานขนาดใหญ่ที่ 8 สำนักพัฒนาแหล่งน้ำขนาดใหญ่  ปีงบประมาณ พ.ศ.2559 ครั้งที่ 4/2559</t>
  </si>
  <si>
    <t xml:space="preserve">รอบระยะเวลา  9 เดือน ระหว่าง วันที่  1 ตุลาคม 2558  ถึง วันที่  30 มิถุนายน 2559     </t>
  </si>
  <si>
    <t>ฝบท.</t>
  </si>
  <si>
    <t>1.โครงการอ่างเก็บน้ำคลองหลวง จังหวัดชลบุรี</t>
  </si>
  <si>
    <t>โครงการอ่างเก็บน้ำลำตะเพินบน จังหวัดสุพรรณบุรี และระบบเชื่อมโยงไป อ่างฯห้วยเทียน-สระเก็บน้ำหนองมะสังข์ จังหวัดกาญจนบุรี(LS)</t>
  </si>
  <si>
    <t>สำนักงานก่อสร้างชลประทานขนาดใหญ่ที่ 9 สำนักพัฒนาแหล่งน้ำขนาดใหญ่  ปีงบประมาณ พ.ศ.2559 ครั้งที่ 4/2559</t>
  </si>
  <si>
    <t xml:space="preserve">รอบระยะเวลา  9  เดือน ระหว่าง วันที่  1 ตุลาคม 2558  ถึง วันที่  30 มิถุนายน 2559                                                                                                       </t>
  </si>
  <si>
    <t>รอสิ้นไตรมาส 4</t>
  </si>
  <si>
    <t>1.โครงการบรรเทาอุทกภัยเมืองจันทบุรี (แผนระยะที่2) จังหวัดจันทบุรี</t>
  </si>
  <si>
    <t>2.โครงการชลประทานระบบส่งน้ำบ้านเขายายพริ้ง จังหวัดระยอง</t>
  </si>
  <si>
    <t>3.โครงการสถานีสูบน้ำปลายคลองระบายใหญ่ ชัยนาท - ป่าสัก 2 จังหวัดสิงห์บุรี</t>
  </si>
  <si>
    <t>4.โครงการสถานีสูบน้ำเจริญราษฏร์ จังหวัดสมุทรปราการ</t>
  </si>
  <si>
    <t>1.โครงการสถานีสูบน้ำปลายคลองระบายใหญ่ ชัยนาท - ป่าสัก 2 จังหวัดสิงห์บุรี</t>
  </si>
  <si>
    <t>2.โครงการสถานีสูบน้ำเจริญราษฏร์ จังหวัดสมุทรปราการ</t>
  </si>
  <si>
    <t xml:space="preserve"> โครงการอ่างเก็บน้ำคลองวังโตนด จังหวัดจันทบุรี(LS)</t>
  </si>
  <si>
    <t>สำนักงานก่อสร้างชลประทานขนาดใหญ่ที่ 10 สำนักพัฒนาแหล่งน้ำขนาดใหญ่  ปีงบประมาณ พ.ศ.2559 ครั้งที่ 4/2559</t>
  </si>
  <si>
    <t>1.โครงการพัฒนาลุ่มน้ำตาปี - พุมดวง จังหวัดสุราษฏร์ธานี</t>
  </si>
  <si>
    <t>2.โครงการสถานีสูบน้ำพร้อมระบบส่งน้ำหงษ์เจริญ จังหวัดชุมพร</t>
  </si>
  <si>
    <t>1.โครงการอ่างเก็บน้ำคลองลำรูใหญ่ จังหวัดพังงา</t>
  </si>
  <si>
    <t>2.โครงการระบบส่งน้ำประตูระบายน้ำท่าแซะ จังหวัดชุมพร</t>
  </si>
  <si>
    <t>3.โครงการวังหีบอันเนื่องมาจากพระราชดำริ จังหวัดนครศรีธรรมราช</t>
  </si>
  <si>
    <t>สำนักงานก่อสร้างชลประทานขนาดใหญ่ที่ 11 สำนักพัฒนาแหล่งน้ำขนาดใหญ่  ปีงบประมาณ พ.ศ.2559 ครั้งที่ 4/2559</t>
  </si>
  <si>
    <t>1.โครงการบรรเทาอุทกภัยอำเภอหาดใหญ่ (ระยะที่2) จังหวัดสงขลา</t>
  </si>
  <si>
    <t>2.โครงการระบบระบายน้ำปลักปลิง-จะนะ จังหวัดสงขลา</t>
  </si>
  <si>
    <t>3.โครงการระบบระบายแม่น้ำตรัง จังหวัดตรัง</t>
  </si>
  <si>
    <t>1.โครงการบรรเทาอุทกภัยเมืองนครศรีธรรมราช จังหวัดนครศรีธรรมราช</t>
  </si>
  <si>
    <t>สำนักงานก่อสร้างชลประทานขนาดใหญ่ที่ 12 สำนักพัฒนาแหล่งน้ำขนาดใหญ่  ปีงบประมาณ พ.ศ.2559 ครั้งที่ 4/2559</t>
  </si>
  <si>
    <t>1.โครงการอ่างเก็บน้ำห้วยน้ำรีอันเนื่องมาจากพระราชดำริ จังหวัดอุตรดิตถ์</t>
  </si>
  <si>
    <t>1.โครงการประตูระบายน้ำศรีสองรัก จังหวัดเลย</t>
  </si>
  <si>
    <t>สำนักงานก่อสร้างชลประทานขนาดใหญ่ที่ 13 สำนักพัฒนาแหล่งน้ำขนาดใหญ่  ปีงบประมาณ พ.ศ.2559 ครั้งที่ 4/2559</t>
  </si>
  <si>
    <t>โครงการห้วยตะแบง</t>
  </si>
  <si>
    <t>จ.ศรีสะเกษ</t>
  </si>
  <si>
    <t>1.โครงการประตูระบายน้ำพระอาจารย์จื่อ (ลำเชียงทา) จังหวัดชัยภูมิ</t>
  </si>
  <si>
    <t>2.โครงการระบบส่งน้ำโครงการอ่างเก็บน้ำห้วยตะแบง จังหวัดศรีษะเกษ</t>
  </si>
  <si>
    <t>3.โครงการอ่างเก็บน้ำโปร่งขุนเพชร จังหวัดชัยภูมิ</t>
  </si>
  <si>
    <t>งบประมาณรายจ่ายลงทุน (ไตรมาส 3)</t>
  </si>
</sst>
</file>

<file path=xl/styles.xml><?xml version="1.0" encoding="utf-8"?>
<styleSheet xmlns="http://schemas.openxmlformats.org/spreadsheetml/2006/main">
  <numFmts count="13">
    <numFmt numFmtId="43" formatCode="_(* #,##0.00_);_(* \(#,##0.00\);_(* &quot;-&quot;??_);_(@_)"/>
    <numFmt numFmtId="187" formatCode="_-* #,##0.00_-;\-* #,##0.00_-;_-* &quot;-&quot;??_-;_-@_-"/>
    <numFmt numFmtId="188" formatCode="0.0000"/>
    <numFmt numFmtId="189" formatCode="_-* #,##0_-;\-* #,##0_-;_-* &quot;-&quot;??_-;_-@_-"/>
    <numFmt numFmtId="190" formatCode="_-* #,##0.0000_-;\-* #,##0.0000_-;_-* &quot;-&quot;??_-;_-@_-"/>
    <numFmt numFmtId="191" formatCode="0.000"/>
    <numFmt numFmtId="192" formatCode="_-* #,##0.000_-;\-* #,##0.000_-;_-* &quot;-&quot;??_-;_-@_-"/>
    <numFmt numFmtId="193" formatCode="#,##0.000"/>
    <numFmt numFmtId="194" formatCode="0.000%"/>
    <numFmt numFmtId="195" formatCode="_-* #,##0.00000_-;\-* #,##0.00000_-;_-* &quot;-&quot;??_-;_-@_-"/>
    <numFmt numFmtId="196" formatCode="#,##0.0000_);\(#,##0.0000\)"/>
    <numFmt numFmtId="197" formatCode="_-* #,##0.000000_-;\-* #,##0.000000_-;_-* &quot;-&quot;??_-;_-@_-"/>
    <numFmt numFmtId="200" formatCode="#;\(#\);\-"/>
  </numFmts>
  <fonts count="55">
    <font>
      <sz val="10"/>
      <name val="Arial"/>
      <charset val="222"/>
    </font>
    <font>
      <sz val="16"/>
      <name val="Angsana New"/>
      <family val="1"/>
    </font>
    <font>
      <b/>
      <sz val="18"/>
      <color indexed="18"/>
      <name val="TH SarabunIT๙"/>
      <family val="2"/>
    </font>
    <font>
      <b/>
      <sz val="18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0"/>
      <name val="Arial"/>
      <family val="2"/>
    </font>
    <font>
      <b/>
      <sz val="20"/>
      <name val="TH SarabunIT๙"/>
      <family val="2"/>
    </font>
    <font>
      <b/>
      <sz val="18"/>
      <color indexed="12"/>
      <name val="TH SarabunIT๙"/>
      <family val="2"/>
    </font>
    <font>
      <sz val="18"/>
      <name val="TH SarabunIT๙"/>
      <family val="2"/>
    </font>
    <font>
      <sz val="20"/>
      <name val="TH SarabunIT๙"/>
      <family val="2"/>
    </font>
    <font>
      <u/>
      <sz val="8"/>
      <color theme="10"/>
      <name val="Arial"/>
      <family val="2"/>
    </font>
    <font>
      <u/>
      <sz val="12"/>
      <color theme="10"/>
      <name val="Arial"/>
      <family val="2"/>
    </font>
    <font>
      <sz val="18"/>
      <color rgb="FF000000"/>
      <name val="TH SarabunIT๙"/>
      <family val="2"/>
    </font>
    <font>
      <sz val="16"/>
      <color rgb="FF000000"/>
      <name val="TH SarabunIT๙"/>
      <family val="2"/>
    </font>
    <font>
      <sz val="16"/>
      <color rgb="FF0000FF"/>
      <name val="Angsana New"/>
      <family val="1"/>
    </font>
    <font>
      <u/>
      <sz val="16"/>
      <color rgb="FF0000FF"/>
      <name val="Angsana New"/>
      <family val="1"/>
    </font>
    <font>
      <sz val="16"/>
      <color rgb="FFFF0000"/>
      <name val="Angsana New"/>
      <family val="1"/>
    </font>
    <font>
      <b/>
      <u/>
      <sz val="16"/>
      <color rgb="FF0000FF"/>
      <name val="Angsana New"/>
      <family val="1"/>
    </font>
    <font>
      <b/>
      <sz val="16"/>
      <color rgb="FFFF0000"/>
      <name val="Angsana New"/>
      <family val="1"/>
    </font>
    <font>
      <b/>
      <sz val="16"/>
      <color rgb="FF0000FF"/>
      <name val="Angsana New"/>
      <family val="1"/>
    </font>
    <font>
      <sz val="16"/>
      <color theme="0"/>
      <name val="Angsana New"/>
      <family val="1"/>
    </font>
    <font>
      <b/>
      <sz val="16"/>
      <color rgb="FFFF0000"/>
      <name val="TH SarabunIT๙"/>
      <family val="2"/>
    </font>
    <font>
      <b/>
      <sz val="16"/>
      <color rgb="FF0000CC"/>
      <name val="TH SarabunIT๙"/>
      <family val="2"/>
    </font>
    <font>
      <b/>
      <sz val="18"/>
      <color rgb="FF0000CC"/>
      <name val="TH SarabunIT๙"/>
      <family val="2"/>
    </font>
    <font>
      <u/>
      <sz val="16"/>
      <name val="Angsana New"/>
      <family val="1"/>
    </font>
    <font>
      <u/>
      <sz val="12"/>
      <name val="Arial"/>
      <family val="2"/>
    </font>
    <font>
      <b/>
      <u/>
      <sz val="16"/>
      <name val="Angsana New"/>
      <family val="1"/>
    </font>
    <font>
      <b/>
      <sz val="16"/>
      <name val="Angsana New"/>
      <family val="1"/>
    </font>
    <font>
      <b/>
      <sz val="2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8"/>
      <color rgb="FF0000CC"/>
      <name val="TH SarabunPSK"/>
      <family val="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00CC"/>
      <name val="TH SarabunPSK"/>
      <family val="2"/>
    </font>
    <font>
      <u/>
      <sz val="12"/>
      <name val="TH SarabunPSK"/>
      <family val="2"/>
    </font>
    <font>
      <b/>
      <u/>
      <sz val="16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0"/>
      <color rgb="FF0000CC"/>
      <name val="TH SarabunPSK"/>
      <family val="2"/>
    </font>
    <font>
      <sz val="16"/>
      <color rgb="FFFF0000"/>
      <name val="TH SarabunPSK"/>
      <family val="2"/>
    </font>
    <font>
      <u val="double"/>
      <sz val="16"/>
      <name val="TH SarabunPSK"/>
      <family val="2"/>
    </font>
    <font>
      <sz val="16"/>
      <color rgb="FF0000CC"/>
      <name val="TH SarabunPSK"/>
      <family val="2"/>
    </font>
    <font>
      <sz val="16"/>
      <color theme="1"/>
      <name val="AngsanaUPC"/>
      <family val="1"/>
    </font>
    <font>
      <sz val="16"/>
      <color rgb="FFFF0000"/>
      <name val="AngsanaUPC"/>
      <family val="1"/>
    </font>
    <font>
      <sz val="16"/>
      <color rgb="FFC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 val="double"/>
      <sz val="16"/>
      <name val="TH SarabunPSK"/>
      <family val="2"/>
    </font>
    <font>
      <b/>
      <sz val="16"/>
      <color rgb="FFC00000"/>
      <name val="TH SarabunPSK"/>
      <family val="2"/>
    </font>
    <font>
      <sz val="16"/>
      <name val="AngsanaUPC"/>
      <family val="1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8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760">
    <xf numFmtId="0" fontId="0" fillId="0" borderId="0" xfId="0"/>
    <xf numFmtId="0" fontId="12" fillId="0" borderId="0" xfId="1" applyFont="1" applyAlignment="1" applyProtection="1"/>
    <xf numFmtId="9" fontId="13" fillId="0" borderId="1" xfId="0" applyNumberFormat="1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3" fontId="9" fillId="0" borderId="3" xfId="0" applyNumberFormat="1" applyFont="1" applyBorder="1" applyAlignment="1" applyProtection="1">
      <alignment wrapText="1"/>
    </xf>
    <xf numFmtId="3" fontId="9" fillId="0" borderId="3" xfId="0" applyNumberFormat="1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/>
    </xf>
    <xf numFmtId="9" fontId="13" fillId="0" borderId="1" xfId="0" applyNumberFormat="1" applyFont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horizontal="center"/>
    </xf>
    <xf numFmtId="9" fontId="13" fillId="0" borderId="1" xfId="0" applyNumberFormat="1" applyFont="1" applyBorder="1" applyAlignment="1" applyProtection="1">
      <alignment horizontal="center" vertical="top" wrapText="1"/>
    </xf>
    <xf numFmtId="9" fontId="9" fillId="0" borderId="1" xfId="0" applyNumberFormat="1" applyFont="1" applyFill="1" applyBorder="1" applyAlignment="1" applyProtection="1">
      <alignment horizontal="center" vertical="top" wrapText="1"/>
    </xf>
    <xf numFmtId="0" fontId="4" fillId="0" borderId="3" xfId="0" applyFont="1" applyFill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 vertical="top" wrapText="1"/>
    </xf>
    <xf numFmtId="9" fontId="13" fillId="0" borderId="3" xfId="0" applyNumberFormat="1" applyFont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horizontal="center"/>
    </xf>
    <xf numFmtId="9" fontId="14" fillId="0" borderId="3" xfId="0" applyNumberFormat="1" applyFont="1" applyBorder="1" applyAlignment="1" applyProtection="1">
      <alignment horizontal="center" vertical="top" wrapText="1"/>
    </xf>
    <xf numFmtId="9" fontId="3" fillId="0" borderId="1" xfId="0" applyNumberFormat="1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left"/>
    </xf>
    <xf numFmtId="0" fontId="3" fillId="0" borderId="1" xfId="4" applyNumberFormat="1" applyFont="1" applyFill="1" applyBorder="1" applyAlignment="1" applyProtection="1">
      <alignment horizontal="center"/>
    </xf>
    <xf numFmtId="2" fontId="3" fillId="0" borderId="3" xfId="4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2" fontId="5" fillId="0" borderId="3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2" fontId="5" fillId="0" borderId="4" xfId="0" applyNumberFormat="1" applyFont="1" applyFill="1" applyBorder="1" applyAlignment="1" applyProtection="1">
      <alignment horizontal="center"/>
    </xf>
    <xf numFmtId="1" fontId="5" fillId="0" borderId="3" xfId="0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3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1" fontId="3" fillId="2" borderId="5" xfId="0" applyNumberFormat="1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/>
    <xf numFmtId="0" fontId="3" fillId="0" borderId="3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/>
    <xf numFmtId="3" fontId="15" fillId="0" borderId="0" xfId="0" applyNumberFormat="1" applyFont="1" applyProtection="1"/>
    <xf numFmtId="1" fontId="15" fillId="0" borderId="0" xfId="0" applyNumberFormat="1" applyFont="1" applyProtection="1"/>
    <xf numFmtId="0" fontId="16" fillId="0" borderId="0" xfId="0" applyFont="1" applyProtection="1"/>
    <xf numFmtId="0" fontId="2" fillId="0" borderId="3" xfId="0" applyFont="1" applyBorder="1" applyAlignment="1" applyProtection="1"/>
    <xf numFmtId="0" fontId="2" fillId="0" borderId="4" xfId="0" applyFont="1" applyBorder="1" applyAlignment="1" applyProtection="1"/>
    <xf numFmtId="0" fontId="2" fillId="0" borderId="3" xfId="0" applyFont="1" applyFill="1" applyBorder="1" applyAlignment="1" applyProtection="1"/>
    <xf numFmtId="0" fontId="5" fillId="0" borderId="2" xfId="0" applyFont="1" applyFill="1" applyBorder="1" applyAlignment="1" applyProtection="1"/>
    <xf numFmtId="0" fontId="5" fillId="0" borderId="2" xfId="0" applyFont="1" applyFill="1" applyBorder="1" applyAlignment="1" applyProtection="1">
      <alignment horizontal="right"/>
    </xf>
    <xf numFmtId="0" fontId="2" fillId="0" borderId="4" xfId="0" applyFont="1" applyFill="1" applyBorder="1" applyAlignment="1" applyProtection="1"/>
    <xf numFmtId="0" fontId="3" fillId="0" borderId="4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17" fillId="0" borderId="0" xfId="0" applyFont="1" applyProtection="1"/>
    <xf numFmtId="0" fontId="15" fillId="0" borderId="0" xfId="0" applyFont="1" applyProtection="1"/>
    <xf numFmtId="2" fontId="18" fillId="0" borderId="0" xfId="0" applyNumberFormat="1" applyFont="1" applyProtection="1"/>
    <xf numFmtId="0" fontId="3" fillId="0" borderId="6" xfId="0" applyFont="1" applyFill="1" applyBorder="1" applyAlignment="1" applyProtection="1"/>
    <xf numFmtId="0" fontId="3" fillId="0" borderId="2" xfId="0" applyFont="1" applyFill="1" applyBorder="1" applyAlignment="1" applyProtection="1"/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2" fontId="20" fillId="0" borderId="0" xfId="0" applyNumberFormat="1" applyFont="1" applyAlignment="1" applyProtection="1">
      <alignment horizontal="center"/>
    </xf>
    <xf numFmtId="0" fontId="3" fillId="0" borderId="7" xfId="0" applyFont="1" applyFill="1" applyBorder="1" applyAlignment="1" applyProtection="1"/>
    <xf numFmtId="188" fontId="3" fillId="0" borderId="1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3" fontId="5" fillId="0" borderId="5" xfId="2" applyNumberFormat="1" applyFont="1" applyFill="1" applyBorder="1" applyAlignment="1" applyProtection="1">
      <alignment horizontal="center"/>
      <protection locked="0"/>
    </xf>
    <xf numFmtId="3" fontId="5" fillId="0" borderId="1" xfId="2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/>
    </xf>
    <xf numFmtId="188" fontId="7" fillId="3" borderId="5" xfId="0" applyNumberFormat="1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/>
    <xf numFmtId="0" fontId="5" fillId="0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center"/>
    </xf>
    <xf numFmtId="189" fontId="5" fillId="0" borderId="5" xfId="2" applyNumberFormat="1" applyFont="1" applyFill="1" applyBorder="1" applyAlignment="1" applyProtection="1">
      <alignment horizontal="center"/>
    </xf>
    <xf numFmtId="189" fontId="5" fillId="0" borderId="1" xfId="2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center"/>
    </xf>
    <xf numFmtId="0" fontId="3" fillId="4" borderId="11" xfId="0" applyFont="1" applyFill="1" applyBorder="1" applyAlignment="1" applyProtection="1">
      <alignment horizontal="left" vertical="center"/>
    </xf>
    <xf numFmtId="0" fontId="3" fillId="4" borderId="11" xfId="0" applyFont="1" applyFill="1" applyBorder="1" applyAlignment="1" applyProtection="1"/>
    <xf numFmtId="0" fontId="3" fillId="4" borderId="11" xfId="0" applyFont="1" applyFill="1" applyBorder="1" applyAlignment="1" applyProtection="1">
      <alignment horizontal="right" vertical="center"/>
    </xf>
    <xf numFmtId="2" fontId="21" fillId="0" borderId="0" xfId="0" applyNumberFormat="1" applyFont="1" applyProtection="1"/>
    <xf numFmtId="0" fontId="5" fillId="0" borderId="6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189" fontId="5" fillId="0" borderId="3" xfId="2" applyNumberFormat="1" applyFont="1" applyFill="1" applyBorder="1" applyAlignment="1" applyProtection="1">
      <alignment horizontal="center"/>
    </xf>
    <xf numFmtId="3" fontId="5" fillId="0" borderId="3" xfId="2" applyNumberFormat="1" applyFont="1" applyFill="1" applyBorder="1" applyAlignment="1" applyProtection="1">
      <alignment horizontal="center"/>
    </xf>
    <xf numFmtId="189" fontId="5" fillId="0" borderId="12" xfId="2" applyNumberFormat="1" applyFont="1" applyFill="1" applyBorder="1" applyAlignment="1" applyProtection="1">
      <alignment horizontal="center"/>
    </xf>
    <xf numFmtId="3" fontId="5" fillId="0" borderId="12" xfId="2" applyNumberFormat="1" applyFont="1" applyFill="1" applyBorder="1" applyAlignment="1" applyProtection="1">
      <alignment horizontal="center"/>
    </xf>
    <xf numFmtId="189" fontId="5" fillId="0" borderId="13" xfId="2" applyNumberFormat="1" applyFont="1" applyFill="1" applyBorder="1" applyAlignment="1" applyProtection="1">
      <alignment horizontal="center"/>
    </xf>
    <xf numFmtId="3" fontId="5" fillId="0" borderId="13" xfId="2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189" fontId="5" fillId="0" borderId="0" xfId="2" applyNumberFormat="1" applyFont="1" applyFill="1" applyBorder="1" applyAlignment="1" applyProtection="1">
      <alignment horizontal="center"/>
    </xf>
    <xf numFmtId="189" fontId="5" fillId="0" borderId="10" xfId="2" applyNumberFormat="1" applyFont="1" applyFill="1" applyBorder="1" applyAlignment="1" applyProtection="1">
      <alignment horizontal="center"/>
    </xf>
    <xf numFmtId="0" fontId="1" fillId="0" borderId="0" xfId="0" applyFont="1" applyFill="1" applyProtection="1"/>
    <xf numFmtId="0" fontId="4" fillId="0" borderId="7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left"/>
    </xf>
    <xf numFmtId="0" fontId="4" fillId="0" borderId="14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4" fillId="0" borderId="7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center"/>
      <protection locked="0"/>
    </xf>
    <xf numFmtId="49" fontId="22" fillId="0" borderId="0" xfId="0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49" fontId="5" fillId="0" borderId="2" xfId="0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center"/>
    </xf>
    <xf numFmtId="187" fontId="3" fillId="0" borderId="6" xfId="2" applyFont="1" applyFill="1" applyBorder="1" applyAlignment="1" applyProtection="1">
      <alignment horizontal="center"/>
    </xf>
    <xf numFmtId="187" fontId="3" fillId="0" borderId="1" xfId="2" applyFont="1" applyFill="1" applyBorder="1" applyAlignment="1" applyProtection="1">
      <alignment horizontal="center"/>
    </xf>
    <xf numFmtId="187" fontId="5" fillId="0" borderId="15" xfId="2" applyFont="1" applyFill="1" applyBorder="1" applyAlignment="1" applyProtection="1">
      <alignment horizontal="center"/>
      <protection locked="0"/>
    </xf>
    <xf numFmtId="187" fontId="23" fillId="0" borderId="15" xfId="2" applyFont="1" applyFill="1" applyBorder="1" applyAlignment="1" applyProtection="1">
      <alignment horizontal="center"/>
      <protection locked="0"/>
    </xf>
    <xf numFmtId="187" fontId="24" fillId="0" borderId="15" xfId="2" applyFont="1" applyFill="1" applyBorder="1" applyAlignment="1" applyProtection="1">
      <alignment horizontal="center"/>
      <protection locked="0"/>
    </xf>
    <xf numFmtId="190" fontId="24" fillId="0" borderId="1" xfId="2" applyNumberFormat="1" applyFont="1" applyFill="1" applyBorder="1" applyAlignment="1" applyProtection="1">
      <alignment horizontal="center"/>
      <protection locked="0"/>
    </xf>
    <xf numFmtId="190" fontId="3" fillId="0" borderId="3" xfId="0" applyNumberFormat="1" applyFont="1" applyFill="1" applyBorder="1" applyAlignment="1" applyProtection="1">
      <alignment horizontal="center"/>
    </xf>
    <xf numFmtId="190" fontId="3" fillId="0" borderId="4" xfId="0" applyNumberFormat="1" applyFont="1" applyFill="1" applyBorder="1" applyAlignment="1" applyProtection="1">
      <alignment horizontal="center"/>
    </xf>
    <xf numFmtId="190" fontId="3" fillId="0" borderId="10" xfId="0" applyNumberFormat="1" applyFont="1" applyFill="1" applyBorder="1" applyAlignment="1" applyProtection="1">
      <alignment horizontal="center"/>
    </xf>
    <xf numFmtId="190" fontId="3" fillId="0" borderId="14" xfId="0" applyNumberFormat="1" applyFont="1" applyFill="1" applyBorder="1" applyAlignment="1" applyProtection="1">
      <alignment horizontal="center"/>
    </xf>
    <xf numFmtId="0" fontId="1" fillId="0" borderId="0" xfId="3" applyFont="1" applyProtection="1"/>
    <xf numFmtId="0" fontId="3" fillId="4" borderId="11" xfId="3" applyFont="1" applyFill="1" applyBorder="1" applyAlignment="1" applyProtection="1">
      <alignment horizontal="left" vertical="center"/>
    </xf>
    <xf numFmtId="0" fontId="3" fillId="4" borderId="11" xfId="3" applyFont="1" applyFill="1" applyBorder="1" applyAlignment="1" applyProtection="1"/>
    <xf numFmtId="0" fontId="3" fillId="4" borderId="11" xfId="3" applyFont="1" applyFill="1" applyBorder="1" applyAlignment="1" applyProtection="1">
      <alignment horizontal="right" vertical="center"/>
    </xf>
    <xf numFmtId="0" fontId="3" fillId="2" borderId="1" xfId="3" applyFont="1" applyFill="1" applyBorder="1" applyAlignment="1" applyProtection="1">
      <alignment horizontal="center"/>
    </xf>
    <xf numFmtId="0" fontId="5" fillId="2" borderId="1" xfId="3" applyFont="1" applyFill="1" applyBorder="1" applyAlignment="1" applyProtection="1">
      <alignment horizontal="center" wrapText="1"/>
    </xf>
    <xf numFmtId="0" fontId="1" fillId="0" borderId="0" xfId="3" applyFont="1" applyAlignment="1" applyProtection="1">
      <alignment horizontal="center"/>
    </xf>
    <xf numFmtId="0" fontId="3" fillId="2" borderId="4" xfId="3" applyFont="1" applyFill="1" applyBorder="1" applyAlignment="1" applyProtection="1">
      <alignment horizontal="center"/>
    </xf>
    <xf numFmtId="1" fontId="3" fillId="2" borderId="5" xfId="3" applyNumberFormat="1" applyFont="1" applyFill="1" applyBorder="1" applyAlignment="1" applyProtection="1">
      <alignment horizontal="center"/>
    </xf>
    <xf numFmtId="0" fontId="5" fillId="2" borderId="4" xfId="3" applyFont="1" applyFill="1" applyBorder="1" applyAlignment="1" applyProtection="1">
      <alignment horizontal="center" wrapText="1"/>
    </xf>
    <xf numFmtId="0" fontId="3" fillId="0" borderId="1" xfId="3" applyFont="1" applyFill="1" applyBorder="1" applyAlignment="1" applyProtection="1"/>
    <xf numFmtId="9" fontId="13" fillId="0" borderId="1" xfId="3" applyNumberFormat="1" applyFont="1" applyFill="1" applyBorder="1" applyAlignment="1" applyProtection="1">
      <alignment horizontal="center" wrapText="1"/>
    </xf>
    <xf numFmtId="0" fontId="5" fillId="0" borderId="6" xfId="3" applyFont="1" applyFill="1" applyBorder="1" applyAlignment="1" applyProtection="1">
      <alignment horizontal="left"/>
    </xf>
    <xf numFmtId="0" fontId="5" fillId="0" borderId="8" xfId="3" applyFont="1" applyFill="1" applyBorder="1" applyAlignment="1" applyProtection="1"/>
    <xf numFmtId="0" fontId="5" fillId="0" borderId="9" xfId="3" applyFont="1" applyFill="1" applyBorder="1" applyAlignment="1" applyProtection="1"/>
    <xf numFmtId="187" fontId="24" fillId="0" borderId="1" xfId="2" applyFont="1" applyFill="1" applyBorder="1" applyAlignment="1" applyProtection="1">
      <alignment horizontal="center"/>
      <protection locked="0"/>
    </xf>
    <xf numFmtId="188" fontId="3" fillId="0" borderId="1" xfId="3" applyNumberFormat="1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left"/>
    </xf>
    <xf numFmtId="0" fontId="5" fillId="0" borderId="2" xfId="3" applyFont="1" applyFill="1" applyBorder="1" applyAlignment="1" applyProtection="1">
      <alignment horizontal="center"/>
    </xf>
    <xf numFmtId="0" fontId="13" fillId="0" borderId="3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0" fontId="4" fillId="0" borderId="0" xfId="3" applyFont="1" applyFill="1" applyBorder="1" applyAlignment="1" applyProtection="1">
      <alignment horizontal="center"/>
    </xf>
    <xf numFmtId="187" fontId="4" fillId="0" borderId="15" xfId="2" applyFont="1" applyFill="1" applyBorder="1" applyAlignment="1" applyProtection="1">
      <alignment horizontal="center"/>
      <protection locked="0"/>
    </xf>
    <xf numFmtId="0" fontId="4" fillId="0" borderId="10" xfId="3" applyFont="1" applyFill="1" applyBorder="1" applyAlignment="1" applyProtection="1">
      <alignment horizontal="left"/>
    </xf>
    <xf numFmtId="0" fontId="3" fillId="0" borderId="3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/>
    <xf numFmtId="0" fontId="5" fillId="0" borderId="3" xfId="3" applyFont="1" applyFill="1" applyBorder="1" applyAlignment="1" applyProtection="1">
      <alignment horizontal="center"/>
    </xf>
    <xf numFmtId="0" fontId="4" fillId="0" borderId="4" xfId="3" applyFont="1" applyBorder="1" applyAlignment="1" applyProtection="1">
      <alignment horizontal="center"/>
    </xf>
    <xf numFmtId="0" fontId="4" fillId="0" borderId="2" xfId="3" applyFont="1" applyFill="1" applyBorder="1" applyAlignment="1" applyProtection="1">
      <alignment horizontal="center"/>
    </xf>
    <xf numFmtId="0" fontId="4" fillId="0" borderId="10" xfId="3" applyFont="1" applyFill="1" applyBorder="1" applyAlignment="1" applyProtection="1">
      <alignment horizontal="center"/>
    </xf>
    <xf numFmtId="3" fontId="9" fillId="0" borderId="3" xfId="3" applyNumberFormat="1" applyFont="1" applyBorder="1" applyAlignment="1" applyProtection="1">
      <alignment wrapText="1"/>
    </xf>
    <xf numFmtId="3" fontId="9" fillId="0" borderId="3" xfId="3" applyNumberFormat="1" applyFont="1" applyBorder="1" applyAlignment="1" applyProtection="1">
      <alignment horizontal="center" wrapText="1"/>
    </xf>
    <xf numFmtId="3" fontId="15" fillId="0" borderId="0" xfId="3" applyNumberFormat="1" applyFont="1" applyProtection="1"/>
    <xf numFmtId="1" fontId="15" fillId="0" borderId="0" xfId="3" applyNumberFormat="1" applyFont="1" applyProtection="1"/>
    <xf numFmtId="0" fontId="9" fillId="0" borderId="3" xfId="3" applyFont="1" applyBorder="1" applyAlignment="1" applyProtection="1">
      <alignment horizontal="center" wrapText="1"/>
    </xf>
    <xf numFmtId="0" fontId="5" fillId="0" borderId="5" xfId="3" applyFont="1" applyFill="1" applyBorder="1" applyAlignment="1" applyProtection="1">
      <alignment horizontal="center"/>
    </xf>
    <xf numFmtId="0" fontId="16" fillId="0" borderId="0" xfId="3" applyFont="1" applyProtection="1"/>
    <xf numFmtId="0" fontId="4" fillId="0" borderId="3" xfId="3" applyFont="1" applyBorder="1" applyAlignment="1" applyProtection="1">
      <alignment horizontal="center" wrapText="1"/>
    </xf>
    <xf numFmtId="0" fontId="4" fillId="0" borderId="3" xfId="3" applyFont="1" applyBorder="1" applyAlignment="1" applyProtection="1">
      <alignment horizontal="center" vertical="center" wrapText="1"/>
    </xf>
    <xf numFmtId="0" fontId="4" fillId="0" borderId="3" xfId="3" applyFont="1" applyBorder="1" applyAlignment="1" applyProtection="1">
      <alignment horizontal="center"/>
    </xf>
    <xf numFmtId="0" fontId="5" fillId="0" borderId="9" xfId="3" applyFont="1" applyFill="1" applyBorder="1" applyAlignment="1" applyProtection="1">
      <alignment horizontal="left"/>
    </xf>
    <xf numFmtId="0" fontId="5" fillId="0" borderId="0" xfId="3" applyFont="1" applyFill="1" applyBorder="1" applyAlignment="1" applyProtection="1">
      <alignment horizontal="center"/>
    </xf>
    <xf numFmtId="9" fontId="13" fillId="0" borderId="1" xfId="3" applyNumberFormat="1" applyFont="1" applyBorder="1" applyAlignment="1" applyProtection="1">
      <alignment horizontal="center" wrapText="1"/>
    </xf>
    <xf numFmtId="0" fontId="2" fillId="0" borderId="3" xfId="3" applyFont="1" applyBorder="1" applyAlignment="1" applyProtection="1"/>
    <xf numFmtId="0" fontId="1" fillId="0" borderId="0" xfId="3" applyFont="1" applyFill="1" applyProtection="1"/>
    <xf numFmtId="0" fontId="5" fillId="0" borderId="0" xfId="3" applyFont="1" applyFill="1" applyBorder="1" applyAlignment="1" applyProtection="1">
      <alignment horizontal="right"/>
    </xf>
    <xf numFmtId="0" fontId="5" fillId="0" borderId="10" xfId="3" applyFont="1" applyFill="1" applyBorder="1" applyAlignment="1" applyProtection="1">
      <alignment horizontal="left"/>
    </xf>
    <xf numFmtId="0" fontId="2" fillId="0" borderId="4" xfId="3" applyFont="1" applyBorder="1" applyAlignment="1" applyProtection="1"/>
    <xf numFmtId="0" fontId="5" fillId="0" borderId="4" xfId="3" applyFont="1" applyFill="1" applyBorder="1" applyAlignment="1" applyProtection="1">
      <alignment horizontal="center"/>
    </xf>
    <xf numFmtId="0" fontId="3" fillId="0" borderId="4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5" fillId="0" borderId="2" xfId="3" applyFont="1" applyFill="1" applyBorder="1" applyAlignment="1" applyProtection="1"/>
    <xf numFmtId="0" fontId="5" fillId="0" borderId="2" xfId="3" applyFont="1" applyFill="1" applyBorder="1" applyAlignment="1" applyProtection="1">
      <alignment horizontal="right"/>
    </xf>
    <xf numFmtId="0" fontId="2" fillId="0" borderId="4" xfId="3" applyFont="1" applyFill="1" applyBorder="1" applyAlignment="1" applyProtection="1"/>
    <xf numFmtId="0" fontId="4" fillId="0" borderId="7" xfId="3" applyFont="1" applyFill="1" applyBorder="1" applyAlignment="1" applyProtection="1">
      <alignment horizontal="left"/>
    </xf>
    <xf numFmtId="0" fontId="4" fillId="0" borderId="11" xfId="3" applyFont="1" applyFill="1" applyBorder="1" applyAlignment="1" applyProtection="1">
      <alignment horizontal="left"/>
    </xf>
    <xf numFmtId="0" fontId="4" fillId="0" borderId="14" xfId="3" applyFont="1" applyFill="1" applyBorder="1" applyAlignment="1" applyProtection="1">
      <alignment horizontal="left"/>
    </xf>
    <xf numFmtId="9" fontId="13" fillId="0" borderId="1" xfId="3" applyNumberFormat="1" applyFont="1" applyBorder="1" applyAlignment="1" applyProtection="1">
      <alignment horizontal="center" vertical="top" wrapText="1"/>
    </xf>
    <xf numFmtId="0" fontId="5" fillId="0" borderId="2" xfId="3" applyFont="1" applyFill="1" applyBorder="1" applyAlignment="1" applyProtection="1">
      <alignment horizontal="left"/>
    </xf>
    <xf numFmtId="0" fontId="4" fillId="0" borderId="2" xfId="3" applyFont="1" applyFill="1" applyBorder="1" applyAlignment="1" applyProtection="1">
      <alignment horizontal="left"/>
    </xf>
    <xf numFmtId="0" fontId="4" fillId="0" borderId="11" xfId="3" applyFont="1" applyFill="1" applyBorder="1" applyAlignment="1" applyProtection="1">
      <alignment horizontal="center"/>
    </xf>
    <xf numFmtId="0" fontId="4" fillId="0" borderId="14" xfId="3" applyFont="1" applyFill="1" applyBorder="1" applyAlignment="1" applyProtection="1">
      <alignment horizontal="center"/>
    </xf>
    <xf numFmtId="9" fontId="9" fillId="0" borderId="1" xfId="3" applyNumberFormat="1" applyFont="1" applyFill="1" applyBorder="1" applyAlignment="1" applyProtection="1">
      <alignment horizontal="center" vertical="top" wrapText="1"/>
    </xf>
    <xf numFmtId="0" fontId="4" fillId="0" borderId="3" xfId="3" applyFont="1" applyFill="1" applyBorder="1" applyAlignment="1" applyProtection="1">
      <alignment horizontal="center"/>
    </xf>
    <xf numFmtId="0" fontId="5" fillId="0" borderId="10" xfId="3" applyFont="1" applyFill="1" applyBorder="1" applyAlignment="1" applyProtection="1"/>
    <xf numFmtId="0" fontId="13" fillId="0" borderId="3" xfId="3" applyFont="1" applyBorder="1" applyAlignment="1" applyProtection="1">
      <alignment horizontal="center" vertical="top" wrapText="1"/>
    </xf>
    <xf numFmtId="9" fontId="13" fillId="0" borderId="3" xfId="3" applyNumberFormat="1" applyFont="1" applyBorder="1" applyAlignment="1" applyProtection="1">
      <alignment horizontal="center" vertical="top" wrapText="1"/>
    </xf>
    <xf numFmtId="0" fontId="3" fillId="0" borderId="4" xfId="3" applyFont="1" applyFill="1" applyBorder="1" applyAlignment="1" applyProtection="1"/>
    <xf numFmtId="0" fontId="4" fillId="0" borderId="4" xfId="3" applyFont="1" applyFill="1" applyBorder="1" applyAlignment="1" applyProtection="1">
      <alignment horizontal="center"/>
    </xf>
    <xf numFmtId="0" fontId="4" fillId="0" borderId="7" xfId="3" applyFont="1" applyFill="1" applyBorder="1" applyAlignment="1" applyProtection="1">
      <alignment horizontal="right"/>
    </xf>
    <xf numFmtId="0" fontId="4" fillId="0" borderId="11" xfId="3" applyFont="1" applyFill="1" applyBorder="1" applyAlignment="1" applyProtection="1">
      <alignment horizontal="center"/>
      <protection locked="0"/>
    </xf>
    <xf numFmtId="9" fontId="14" fillId="0" borderId="3" xfId="3" applyNumberFormat="1" applyFont="1" applyBorder="1" applyAlignment="1" applyProtection="1">
      <alignment horizontal="center" vertical="top" wrapText="1"/>
    </xf>
    <xf numFmtId="49" fontId="22" fillId="0" borderId="0" xfId="3" applyNumberFormat="1" applyFont="1" applyFill="1" applyBorder="1" applyAlignment="1" applyProtection="1">
      <alignment horizontal="center"/>
    </xf>
    <xf numFmtId="0" fontId="5" fillId="0" borderId="10" xfId="3" applyFont="1" applyFill="1" applyBorder="1" applyAlignment="1" applyProtection="1">
      <alignment horizontal="center"/>
    </xf>
    <xf numFmtId="9" fontId="3" fillId="0" borderId="1" xfId="3" applyNumberFormat="1" applyFont="1" applyFill="1" applyBorder="1" applyAlignment="1" applyProtection="1">
      <alignment horizontal="center"/>
    </xf>
    <xf numFmtId="49" fontId="5" fillId="0" borderId="2" xfId="3" applyNumberFormat="1" applyFont="1" applyFill="1" applyBorder="1" applyAlignment="1" applyProtection="1">
      <alignment horizontal="left"/>
    </xf>
    <xf numFmtId="49" fontId="5" fillId="0" borderId="0" xfId="3" applyNumberFormat="1" applyFont="1" applyFill="1" applyBorder="1" applyAlignment="1" applyProtection="1">
      <alignment horizontal="right"/>
    </xf>
    <xf numFmtId="0" fontId="4" fillId="0" borderId="3" xfId="3" applyFont="1" applyFill="1" applyBorder="1" applyAlignment="1" applyProtection="1">
      <alignment horizontal="left"/>
    </xf>
    <xf numFmtId="49" fontId="5" fillId="0" borderId="0" xfId="3" applyNumberFormat="1" applyFont="1" applyFill="1" applyBorder="1" applyAlignment="1" applyProtection="1">
      <alignment horizontal="center"/>
    </xf>
    <xf numFmtId="0" fontId="17" fillId="0" borderId="0" xfId="3" applyFont="1" applyProtection="1"/>
    <xf numFmtId="0" fontId="15" fillId="0" borderId="0" xfId="3" applyFont="1" applyProtection="1"/>
    <xf numFmtId="2" fontId="18" fillId="0" borderId="0" xfId="3" applyNumberFormat="1" applyFont="1" applyProtection="1"/>
    <xf numFmtId="0" fontId="3" fillId="0" borderId="6" xfId="3" applyFont="1" applyFill="1" applyBorder="1" applyAlignment="1" applyProtection="1"/>
    <xf numFmtId="0" fontId="3" fillId="0" borderId="1" xfId="3" applyFont="1" applyFill="1" applyBorder="1" applyAlignment="1" applyProtection="1">
      <alignment horizontal="center"/>
    </xf>
    <xf numFmtId="0" fontId="3" fillId="0" borderId="2" xfId="3" applyFont="1" applyFill="1" applyBorder="1" applyAlignment="1" applyProtection="1"/>
    <xf numFmtId="2" fontId="5" fillId="0" borderId="3" xfId="3" applyNumberFormat="1" applyFont="1" applyFill="1" applyBorder="1" applyAlignment="1" applyProtection="1">
      <alignment horizontal="center"/>
    </xf>
    <xf numFmtId="2" fontId="5" fillId="0" borderId="0" xfId="3" applyNumberFormat="1" applyFont="1" applyFill="1" applyBorder="1" applyAlignment="1" applyProtection="1">
      <alignment horizontal="center"/>
    </xf>
    <xf numFmtId="0" fontId="3" fillId="0" borderId="10" xfId="3" applyFont="1" applyFill="1" applyBorder="1" applyAlignment="1" applyProtection="1">
      <alignment horizontal="center"/>
    </xf>
    <xf numFmtId="0" fontId="19" fillId="0" borderId="0" xfId="3" applyFont="1" applyAlignment="1" applyProtection="1">
      <alignment horizontal="center"/>
    </xf>
    <xf numFmtId="0" fontId="20" fillId="0" borderId="0" xfId="3" applyFont="1" applyAlignment="1" applyProtection="1">
      <alignment horizontal="center"/>
    </xf>
    <xf numFmtId="2" fontId="20" fillId="0" borderId="0" xfId="3" applyNumberFormat="1" applyFont="1" applyAlignment="1" applyProtection="1">
      <alignment horizontal="center"/>
    </xf>
    <xf numFmtId="0" fontId="3" fillId="0" borderId="7" xfId="3" applyFont="1" applyFill="1" applyBorder="1" applyAlignment="1" applyProtection="1"/>
    <xf numFmtId="2" fontId="5" fillId="0" borderId="4" xfId="3" applyNumberFormat="1" applyFont="1" applyFill="1" applyBorder="1" applyAlignment="1" applyProtection="1">
      <alignment horizontal="center"/>
    </xf>
    <xf numFmtId="0" fontId="3" fillId="0" borderId="14" xfId="3" applyFont="1" applyFill="1" applyBorder="1" applyAlignment="1" applyProtection="1">
      <alignment horizontal="center"/>
    </xf>
    <xf numFmtId="1" fontId="5" fillId="0" borderId="3" xfId="3" applyNumberFormat="1" applyFont="1" applyFill="1" applyBorder="1" applyAlignment="1" applyProtection="1">
      <alignment horizontal="center"/>
    </xf>
    <xf numFmtId="188" fontId="7" fillId="3" borderId="5" xfId="3" applyNumberFormat="1" applyFont="1" applyFill="1" applyBorder="1" applyAlignment="1" applyProtection="1">
      <alignment horizontal="center"/>
    </xf>
    <xf numFmtId="2" fontId="21" fillId="0" borderId="0" xfId="3" applyNumberFormat="1" applyFont="1" applyProtection="1"/>
    <xf numFmtId="0" fontId="5" fillId="0" borderId="5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190" fontId="23" fillId="0" borderId="15" xfId="2" applyNumberFormat="1" applyFont="1" applyFill="1" applyBorder="1" applyAlignment="1" applyProtection="1">
      <alignment horizontal="center"/>
      <protection locked="0"/>
    </xf>
    <xf numFmtId="189" fontId="5" fillId="0" borderId="15" xfId="2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3" fontId="9" fillId="5" borderId="3" xfId="0" applyNumberFormat="1" applyFont="1" applyFill="1" applyBorder="1" applyAlignment="1" applyProtection="1">
      <alignment wrapText="1"/>
    </xf>
    <xf numFmtId="3" fontId="4" fillId="5" borderId="3" xfId="0" applyNumberFormat="1" applyFont="1" applyFill="1" applyBorder="1" applyAlignment="1" applyProtection="1">
      <alignment horizontal="center" wrapText="1"/>
    </xf>
    <xf numFmtId="3" fontId="9" fillId="0" borderId="3" xfId="0" applyNumberFormat="1" applyFont="1" applyFill="1" applyBorder="1" applyAlignment="1" applyProtection="1">
      <alignment wrapText="1"/>
    </xf>
    <xf numFmtId="3" fontId="4" fillId="0" borderId="3" xfId="0" applyNumberFormat="1" applyFont="1" applyFill="1" applyBorder="1" applyAlignment="1" applyProtection="1">
      <alignment horizontal="center" wrapText="1"/>
    </xf>
    <xf numFmtId="9" fontId="9" fillId="0" borderId="1" xfId="0" applyNumberFormat="1" applyFont="1" applyFill="1" applyBorder="1" applyAlignment="1" applyProtection="1">
      <alignment horizontal="center" wrapText="1"/>
    </xf>
    <xf numFmtId="190" fontId="3" fillId="0" borderId="1" xfId="2" applyNumberFormat="1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</xf>
    <xf numFmtId="187" fontId="3" fillId="0" borderId="15" xfId="2" applyFont="1" applyFill="1" applyBorder="1" applyAlignment="1" applyProtection="1">
      <alignment horizontal="center"/>
      <protection locked="0"/>
    </xf>
    <xf numFmtId="190" fontId="5" fillId="0" borderId="15" xfId="2" applyNumberFormat="1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/>
    <xf numFmtId="0" fontId="3" fillId="0" borderId="11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horizontal="center"/>
    </xf>
    <xf numFmtId="1" fontId="3" fillId="0" borderId="5" xfId="0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 wrapText="1"/>
    </xf>
    <xf numFmtId="3" fontId="1" fillId="0" borderId="0" xfId="0" applyNumberFormat="1" applyFont="1" applyFill="1" applyProtection="1"/>
    <xf numFmtId="1" fontId="1" fillId="0" borderId="0" xfId="0" applyNumberFormat="1" applyFont="1" applyFill="1" applyProtection="1"/>
    <xf numFmtId="0" fontId="9" fillId="0" borderId="3" xfId="0" applyFont="1" applyFill="1" applyBorder="1" applyAlignment="1" applyProtection="1">
      <alignment horizontal="center" wrapText="1"/>
    </xf>
    <xf numFmtId="0" fontId="25" fillId="0" borderId="0" xfId="0" applyFont="1" applyFill="1" applyProtection="1"/>
    <xf numFmtId="0" fontId="4" fillId="0" borderId="3" xfId="0" applyFont="1" applyFill="1" applyBorder="1" applyAlignment="1" applyProtection="1">
      <alignment horizont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top" wrapText="1"/>
    </xf>
    <xf numFmtId="9" fontId="9" fillId="0" borderId="3" xfId="0" applyNumberFormat="1" applyFont="1" applyFill="1" applyBorder="1" applyAlignment="1" applyProtection="1">
      <alignment horizontal="center" vertical="top" wrapText="1"/>
    </xf>
    <xf numFmtId="9" fontId="4" fillId="0" borderId="3" xfId="0" applyNumberFormat="1" applyFont="1" applyFill="1" applyBorder="1" applyAlignment="1" applyProtection="1">
      <alignment horizontal="center" vertical="top" wrapText="1"/>
    </xf>
    <xf numFmtId="0" fontId="26" fillId="0" borderId="0" xfId="1" applyFont="1" applyFill="1" applyAlignment="1" applyProtection="1"/>
    <xf numFmtId="2" fontId="27" fillId="0" borderId="0" xfId="0" applyNumberFormat="1" applyFont="1" applyFill="1" applyProtection="1"/>
    <xf numFmtId="0" fontId="28" fillId="0" borderId="0" xfId="0" applyFont="1" applyFill="1" applyAlignment="1" applyProtection="1">
      <alignment horizontal="center"/>
    </xf>
    <xf numFmtId="2" fontId="28" fillId="0" borderId="0" xfId="0" applyNumberFormat="1" applyFont="1" applyFill="1" applyAlignment="1" applyProtection="1">
      <alignment horizontal="center"/>
    </xf>
    <xf numFmtId="188" fontId="7" fillId="0" borderId="5" xfId="0" applyNumberFormat="1" applyFont="1" applyFill="1" applyBorder="1" applyAlignment="1" applyProtection="1">
      <alignment horizontal="center"/>
    </xf>
    <xf numFmtId="2" fontId="21" fillId="0" borderId="0" xfId="0" applyNumberFormat="1" applyFont="1" applyFill="1" applyProtection="1"/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189" fontId="23" fillId="0" borderId="15" xfId="2" applyNumberFormat="1" applyFont="1" applyFill="1" applyBorder="1" applyAlignment="1" applyProtection="1">
      <alignment horizontal="center"/>
      <protection locked="0"/>
    </xf>
    <xf numFmtId="3" fontId="23" fillId="0" borderId="5" xfId="2" applyNumberFormat="1" applyFont="1" applyFill="1" applyBorder="1" applyAlignment="1" applyProtection="1">
      <alignment horizontal="center"/>
      <protection locked="0"/>
    </xf>
    <xf numFmtId="3" fontId="23" fillId="0" borderId="13" xfId="2" applyNumberFormat="1" applyFont="1" applyFill="1" applyBorder="1" applyAlignment="1" applyProtection="1">
      <alignment horizontal="center"/>
    </xf>
    <xf numFmtId="0" fontId="31" fillId="0" borderId="0" xfId="0" applyFont="1" applyFill="1" applyProtection="1"/>
    <xf numFmtId="0" fontId="32" fillId="0" borderId="11" xfId="0" applyFont="1" applyFill="1" applyBorder="1" applyAlignment="1" applyProtection="1">
      <alignment horizontal="left" vertical="center"/>
    </xf>
    <xf numFmtId="0" fontId="32" fillId="0" borderId="11" xfId="0" applyFont="1" applyFill="1" applyBorder="1" applyAlignment="1" applyProtection="1"/>
    <xf numFmtId="0" fontId="32" fillId="0" borderId="11" xfId="0" applyFont="1" applyFill="1" applyBorder="1" applyAlignment="1" applyProtection="1">
      <alignment horizontal="right" vertical="center"/>
    </xf>
    <xf numFmtId="0" fontId="32" fillId="0" borderId="1" xfId="0" applyFont="1" applyFill="1" applyBorder="1" applyAlignment="1" applyProtection="1">
      <alignment horizontal="center"/>
    </xf>
    <xf numFmtId="0" fontId="33" fillId="0" borderId="1" xfId="0" applyFont="1" applyFill="1" applyBorder="1" applyAlignment="1" applyProtection="1">
      <alignment horizontal="center" wrapText="1"/>
    </xf>
    <xf numFmtId="0" fontId="31" fillId="0" borderId="0" xfId="0" applyFont="1" applyFill="1" applyAlignment="1" applyProtection="1">
      <alignment horizontal="center"/>
    </xf>
    <xf numFmtId="0" fontId="32" fillId="0" borderId="4" xfId="0" applyFont="1" applyFill="1" applyBorder="1" applyAlignment="1" applyProtection="1">
      <alignment horizontal="center"/>
    </xf>
    <xf numFmtId="1" fontId="32" fillId="0" borderId="5" xfId="0" applyNumberFormat="1" applyFont="1" applyFill="1" applyBorder="1" applyAlignment="1" applyProtection="1">
      <alignment horizontal="center"/>
    </xf>
    <xf numFmtId="0" fontId="33" fillId="0" borderId="4" xfId="0" applyFont="1" applyFill="1" applyBorder="1" applyAlignment="1" applyProtection="1">
      <alignment horizontal="center" wrapText="1"/>
    </xf>
    <xf numFmtId="0" fontId="32" fillId="0" borderId="1" xfId="0" applyFont="1" applyFill="1" applyBorder="1" applyAlignment="1" applyProtection="1"/>
    <xf numFmtId="9" fontId="34" fillId="0" borderId="1" xfId="0" applyNumberFormat="1" applyFont="1" applyFill="1" applyBorder="1" applyAlignment="1" applyProtection="1">
      <alignment horizontal="center" wrapText="1"/>
    </xf>
    <xf numFmtId="190" fontId="35" fillId="0" borderId="1" xfId="2" applyNumberFormat="1" applyFont="1" applyFill="1" applyBorder="1" applyAlignment="1" applyProtection="1">
      <alignment horizontal="center"/>
      <protection locked="0"/>
    </xf>
    <xf numFmtId="188" fontId="32" fillId="0" borderId="1" xfId="0" applyNumberFormat="1" applyFont="1" applyFill="1" applyBorder="1" applyAlignment="1" applyProtection="1">
      <alignment horizontal="center"/>
    </xf>
    <xf numFmtId="0" fontId="31" fillId="0" borderId="0" xfId="0" applyFont="1" applyFill="1" applyBorder="1" applyAlignment="1" applyProtection="1">
      <alignment horizontal="center"/>
    </xf>
    <xf numFmtId="190" fontId="35" fillId="0" borderId="3" xfId="0" applyNumberFormat="1" applyFont="1" applyFill="1" applyBorder="1" applyAlignment="1" applyProtection="1">
      <alignment horizontal="center"/>
    </xf>
    <xf numFmtId="0" fontId="32" fillId="0" borderId="3" xfId="0" applyFont="1" applyFill="1" applyBorder="1" applyAlignment="1" applyProtection="1">
      <alignment horizontal="center"/>
    </xf>
    <xf numFmtId="0" fontId="32" fillId="0" borderId="3" xfId="0" applyFont="1" applyFill="1" applyBorder="1" applyAlignment="1" applyProtection="1"/>
    <xf numFmtId="0" fontId="31" fillId="0" borderId="4" xfId="0" applyFont="1" applyFill="1" applyBorder="1" applyAlignment="1" applyProtection="1">
      <alignment horizontal="center"/>
    </xf>
    <xf numFmtId="0" fontId="31" fillId="0" borderId="2" xfId="0" applyFont="1" applyFill="1" applyBorder="1" applyAlignment="1" applyProtection="1">
      <alignment horizontal="center"/>
    </xf>
    <xf numFmtId="0" fontId="31" fillId="0" borderId="10" xfId="0" applyFont="1" applyFill="1" applyBorder="1" applyAlignment="1" applyProtection="1">
      <alignment horizontal="center"/>
    </xf>
    <xf numFmtId="3" fontId="31" fillId="0" borderId="3" xfId="0" applyNumberFormat="1" applyFont="1" applyFill="1" applyBorder="1" applyAlignment="1" applyProtection="1">
      <alignment horizontal="center" wrapText="1"/>
    </xf>
    <xf numFmtId="3" fontId="31" fillId="0" borderId="0" xfId="0" applyNumberFormat="1" applyFont="1" applyFill="1" applyProtection="1"/>
    <xf numFmtId="1" fontId="31" fillId="0" borderId="0" xfId="0" applyNumberFormat="1" applyFont="1" applyFill="1" applyProtection="1"/>
    <xf numFmtId="0" fontId="34" fillId="0" borderId="3" xfId="0" applyFont="1" applyFill="1" applyBorder="1" applyAlignment="1" applyProtection="1">
      <alignment horizontal="center" wrapText="1"/>
    </xf>
    <xf numFmtId="0" fontId="36" fillId="0" borderId="0" xfId="0" applyFont="1" applyFill="1" applyProtection="1"/>
    <xf numFmtId="0" fontId="31" fillId="0" borderId="3" xfId="0" applyFont="1" applyFill="1" applyBorder="1" applyAlignment="1" applyProtection="1">
      <alignment horizontal="center" wrapText="1"/>
    </xf>
    <xf numFmtId="0" fontId="31" fillId="0" borderId="3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horizontal="center"/>
    </xf>
    <xf numFmtId="3" fontId="37" fillId="0" borderId="3" xfId="2" applyNumberFormat="1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right"/>
    </xf>
    <xf numFmtId="187" fontId="38" fillId="0" borderId="15" xfId="2" applyFont="1" applyFill="1" applyBorder="1" applyAlignment="1" applyProtection="1">
      <alignment horizontal="center"/>
      <protection locked="0"/>
    </xf>
    <xf numFmtId="0" fontId="32" fillId="0" borderId="4" xfId="0" applyFont="1" applyFill="1" applyBorder="1" applyAlignment="1" applyProtection="1"/>
    <xf numFmtId="190" fontId="35" fillId="0" borderId="4" xfId="0" applyNumberFormat="1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right"/>
    </xf>
    <xf numFmtId="187" fontId="38" fillId="0" borderId="0" xfId="2" applyFont="1" applyFill="1" applyBorder="1" applyAlignment="1" applyProtection="1">
      <alignment horizontal="center"/>
      <protection locked="0"/>
    </xf>
    <xf numFmtId="0" fontId="31" fillId="0" borderId="7" xfId="0" applyFont="1" applyFill="1" applyBorder="1" applyAlignment="1" applyProtection="1">
      <alignment horizontal="left"/>
    </xf>
    <xf numFmtId="0" fontId="31" fillId="0" borderId="11" xfId="0" applyFont="1" applyFill="1" applyBorder="1" applyAlignment="1" applyProtection="1">
      <alignment horizontal="left"/>
    </xf>
    <xf numFmtId="0" fontId="31" fillId="0" borderId="14" xfId="0" applyFont="1" applyFill="1" applyBorder="1" applyAlignment="1" applyProtection="1">
      <alignment horizontal="left"/>
    </xf>
    <xf numFmtId="9" fontId="34" fillId="0" borderId="1" xfId="0" applyNumberFormat="1" applyFont="1" applyFill="1" applyBorder="1" applyAlignment="1" applyProtection="1">
      <alignment horizontal="center" vertical="top" wrapText="1"/>
    </xf>
    <xf numFmtId="0" fontId="31" fillId="0" borderId="2" xfId="0" applyFont="1" applyFill="1" applyBorder="1" applyAlignment="1" applyProtection="1">
      <alignment horizontal="left"/>
    </xf>
    <xf numFmtId="189" fontId="38" fillId="0" borderId="15" xfId="2" applyNumberFormat="1" applyFont="1" applyFill="1" applyBorder="1" applyAlignment="1" applyProtection="1">
      <alignment horizontal="center"/>
      <protection locked="0"/>
    </xf>
    <xf numFmtId="0" fontId="34" fillId="0" borderId="3" xfId="0" applyFont="1" applyFill="1" applyBorder="1" applyAlignment="1" applyProtection="1">
      <alignment horizontal="center" vertical="top" wrapText="1"/>
    </xf>
    <xf numFmtId="9" fontId="34" fillId="0" borderId="3" xfId="0" applyNumberFormat="1" applyFont="1" applyFill="1" applyBorder="1" applyAlignment="1" applyProtection="1">
      <alignment horizontal="center" vertical="top" wrapText="1"/>
    </xf>
    <xf numFmtId="0" fontId="31" fillId="0" borderId="7" xfId="0" applyFont="1" applyFill="1" applyBorder="1" applyAlignment="1" applyProtection="1">
      <alignment horizontal="right"/>
    </xf>
    <xf numFmtId="0" fontId="31" fillId="0" borderId="11" xfId="0" applyFont="1" applyFill="1" applyBorder="1" applyAlignment="1" applyProtection="1">
      <alignment horizontal="center"/>
      <protection locked="0"/>
    </xf>
    <xf numFmtId="0" fontId="32" fillId="0" borderId="1" xfId="0" applyFont="1" applyFill="1" applyBorder="1" applyAlignment="1" applyProtection="1">
      <alignment horizontal="left"/>
    </xf>
    <xf numFmtId="9" fontId="34" fillId="0" borderId="1" xfId="0" applyNumberFormat="1" applyFont="1" applyFill="1" applyBorder="1" applyAlignment="1" applyProtection="1">
      <alignment horizontal="center"/>
    </xf>
    <xf numFmtId="49" fontId="33" fillId="0" borderId="2" xfId="0" applyNumberFormat="1" applyFont="1" applyFill="1" applyBorder="1" applyAlignment="1" applyProtection="1">
      <alignment horizontal="left"/>
    </xf>
    <xf numFmtId="49" fontId="33" fillId="0" borderId="0" xfId="0" applyNumberFormat="1" applyFont="1" applyFill="1" applyBorder="1" applyAlignment="1" applyProtection="1">
      <alignment horizontal="right"/>
    </xf>
    <xf numFmtId="190" fontId="38" fillId="0" borderId="15" xfId="2" applyNumberFormat="1" applyFont="1" applyFill="1" applyBorder="1" applyAlignment="1" applyProtection="1">
      <alignment horizontal="center"/>
      <protection locked="0"/>
    </xf>
    <xf numFmtId="0" fontId="31" fillId="0" borderId="3" xfId="0" applyFont="1" applyFill="1" applyBorder="1" applyAlignment="1" applyProtection="1">
      <alignment horizontal="left"/>
    </xf>
    <xf numFmtId="49" fontId="33" fillId="0" borderId="0" xfId="0" applyNumberFormat="1" applyFont="1" applyFill="1" applyBorder="1" applyAlignment="1" applyProtection="1">
      <alignment horizontal="center"/>
    </xf>
    <xf numFmtId="0" fontId="34" fillId="0" borderId="1" xfId="4" applyNumberFormat="1" applyFont="1" applyFill="1" applyBorder="1" applyAlignment="1" applyProtection="1">
      <alignment horizontal="center"/>
    </xf>
    <xf numFmtId="0" fontId="39" fillId="0" borderId="0" xfId="1" applyFont="1" applyFill="1" applyAlignment="1" applyProtection="1"/>
    <xf numFmtId="2" fontId="34" fillId="0" borderId="3" xfId="4" applyNumberFormat="1" applyFont="1" applyFill="1" applyBorder="1" applyAlignment="1" applyProtection="1">
      <alignment horizontal="center"/>
    </xf>
    <xf numFmtId="2" fontId="40" fillId="0" borderId="0" xfId="0" applyNumberFormat="1" applyFont="1" applyFill="1" applyProtection="1"/>
    <xf numFmtId="0" fontId="32" fillId="0" borderId="6" xfId="0" applyFont="1" applyFill="1" applyBorder="1" applyAlignment="1" applyProtection="1"/>
    <xf numFmtId="0" fontId="32" fillId="0" borderId="2" xfId="0" applyFont="1" applyFill="1" applyBorder="1" applyAlignment="1" applyProtection="1"/>
    <xf numFmtId="2" fontId="33" fillId="0" borderId="3" xfId="0" applyNumberFormat="1" applyFont="1" applyFill="1" applyBorder="1" applyAlignment="1" applyProtection="1">
      <alignment horizontal="center"/>
    </xf>
    <xf numFmtId="2" fontId="33" fillId="0" borderId="0" xfId="0" applyNumberFormat="1" applyFont="1" applyFill="1" applyBorder="1" applyAlignment="1" applyProtection="1">
      <alignment horizontal="center"/>
    </xf>
    <xf numFmtId="0" fontId="33" fillId="0" borderId="10" xfId="0" applyFont="1" applyFill="1" applyBorder="1" applyAlignment="1" applyProtection="1">
      <alignment horizontal="center"/>
    </xf>
    <xf numFmtId="190" fontId="35" fillId="0" borderId="10" xfId="0" applyNumberFormat="1" applyFont="1" applyFill="1" applyBorder="1" applyAlignment="1" applyProtection="1">
      <alignment horizontal="center"/>
    </xf>
    <xf numFmtId="0" fontId="33" fillId="0" borderId="0" xfId="0" applyFont="1" applyFill="1" applyAlignment="1" applyProtection="1">
      <alignment horizontal="center"/>
    </xf>
    <xf numFmtId="2" fontId="33" fillId="0" borderId="0" xfId="0" applyNumberFormat="1" applyFont="1" applyFill="1" applyAlignment="1" applyProtection="1">
      <alignment horizontal="center"/>
    </xf>
    <xf numFmtId="0" fontId="32" fillId="0" borderId="7" xfId="0" applyFont="1" applyFill="1" applyBorder="1" applyAlignment="1" applyProtection="1"/>
    <xf numFmtId="2" fontId="33" fillId="0" borderId="4" xfId="0" applyNumberFormat="1" applyFont="1" applyFill="1" applyBorder="1" applyAlignment="1" applyProtection="1">
      <alignment horizontal="center"/>
    </xf>
    <xf numFmtId="190" fontId="35" fillId="0" borderId="14" xfId="0" applyNumberFormat="1" applyFont="1" applyFill="1" applyBorder="1" applyAlignment="1" applyProtection="1">
      <alignment horizontal="center"/>
    </xf>
    <xf numFmtId="9" fontId="34" fillId="0" borderId="1" xfId="4" applyNumberFormat="1" applyFont="1" applyFill="1" applyBorder="1" applyAlignment="1" applyProtection="1">
      <alignment horizontal="center"/>
    </xf>
    <xf numFmtId="190" fontId="32" fillId="0" borderId="3" xfId="0" applyNumberFormat="1" applyFont="1" applyFill="1" applyBorder="1" applyAlignment="1" applyProtection="1">
      <alignment horizontal="center"/>
    </xf>
    <xf numFmtId="0" fontId="29" fillId="0" borderId="16" xfId="0" applyFont="1" applyFill="1" applyBorder="1" applyAlignment="1" applyProtection="1"/>
    <xf numFmtId="0" fontId="29" fillId="0" borderId="17" xfId="0" applyFont="1" applyFill="1" applyBorder="1" applyAlignment="1" applyProtection="1"/>
    <xf numFmtId="2" fontId="29" fillId="0" borderId="17" xfId="0" applyNumberFormat="1" applyFont="1" applyFill="1" applyBorder="1" applyAlignment="1" applyProtection="1"/>
    <xf numFmtId="0" fontId="29" fillId="0" borderId="18" xfId="0" applyFont="1" applyFill="1" applyBorder="1" applyAlignment="1" applyProtection="1">
      <alignment horizontal="right"/>
    </xf>
    <xf numFmtId="0" fontId="33" fillId="0" borderId="1" xfId="0" applyFont="1" applyFill="1" applyBorder="1" applyAlignment="1" applyProtection="1">
      <alignment horizontal="center"/>
    </xf>
    <xf numFmtId="3" fontId="37" fillId="0" borderId="3" xfId="2" applyNumberFormat="1" applyFont="1" applyFill="1" applyBorder="1" applyAlignment="1" applyProtection="1">
      <alignment horizontal="center"/>
      <protection locked="0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6" xfId="0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7" xfId="0" applyFont="1" applyFill="1" applyBorder="1" applyAlignment="1" applyProtection="1">
      <alignment horizontal="center"/>
    </xf>
    <xf numFmtId="0" fontId="31" fillId="0" borderId="11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center"/>
    </xf>
    <xf numFmtId="0" fontId="33" fillId="0" borderId="11" xfId="0" applyFont="1" applyFill="1" applyBorder="1" applyAlignment="1" applyProtection="1">
      <alignment horizontal="center"/>
    </xf>
    <xf numFmtId="0" fontId="33" fillId="0" borderId="14" xfId="0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0" xfId="0" applyFont="1" applyFill="1" applyBorder="1" applyAlignment="1" applyProtection="1"/>
    <xf numFmtId="0" fontId="31" fillId="0" borderId="0" xfId="0" applyFont="1" applyFill="1" applyBorder="1" applyAlignment="1" applyProtection="1"/>
    <xf numFmtId="0" fontId="31" fillId="0" borderId="10" xfId="0" applyFont="1" applyFill="1" applyBorder="1" applyAlignment="1" applyProtection="1"/>
    <xf numFmtId="0" fontId="33" fillId="0" borderId="5" xfId="0" applyFont="1" applyFill="1" applyBorder="1" applyAlignment="1" applyProtection="1">
      <alignment horizontal="center"/>
    </xf>
    <xf numFmtId="0" fontId="41" fillId="0" borderId="6" xfId="0" applyFont="1" applyFill="1" applyBorder="1" applyAlignment="1" applyProtection="1">
      <alignment horizontal="left"/>
    </xf>
    <xf numFmtId="0" fontId="41" fillId="0" borderId="8" xfId="0" applyFont="1" applyFill="1" applyBorder="1" applyAlignment="1" applyProtection="1">
      <alignment horizontal="left"/>
    </xf>
    <xf numFmtId="0" fontId="41" fillId="0" borderId="9" xfId="0" applyFont="1" applyFill="1" applyBorder="1" applyAlignment="1" applyProtection="1">
      <alignment horizontal="left"/>
    </xf>
    <xf numFmtId="0" fontId="42" fillId="0" borderId="3" xfId="0" applyFont="1" applyFill="1" applyBorder="1" applyAlignment="1" applyProtection="1"/>
    <xf numFmtId="9" fontId="34" fillId="0" borderId="2" xfId="0" applyNumberFormat="1" applyFont="1" applyFill="1" applyBorder="1" applyAlignment="1" applyProtection="1">
      <alignment horizontal="center" vertical="top" wrapText="1"/>
    </xf>
    <xf numFmtId="4" fontId="32" fillId="0" borderId="6" xfId="2" applyNumberFormat="1" applyFont="1" applyFill="1" applyBorder="1" applyAlignment="1" applyProtection="1">
      <alignment horizontal="center"/>
    </xf>
    <xf numFmtId="9" fontId="34" fillId="0" borderId="3" xfId="0" applyNumberFormat="1" applyFont="1" applyFill="1" applyBorder="1" applyAlignment="1" applyProtection="1">
      <alignment horizontal="center" wrapText="1"/>
    </xf>
    <xf numFmtId="9" fontId="31" fillId="0" borderId="3" xfId="0" applyNumberFormat="1" applyFont="1" applyFill="1" applyBorder="1" applyAlignment="1" applyProtection="1">
      <alignment horizontal="center" wrapText="1"/>
    </xf>
    <xf numFmtId="9" fontId="31" fillId="0" borderId="2" xfId="0" applyNumberFormat="1" applyFont="1" applyFill="1" applyBorder="1" applyAlignment="1" applyProtection="1">
      <alignment horizontal="center" wrapText="1"/>
    </xf>
    <xf numFmtId="190" fontId="35" fillId="0" borderId="9" xfId="2" applyNumberFormat="1" applyFont="1" applyFill="1" applyBorder="1" applyAlignment="1" applyProtection="1">
      <alignment horizontal="center"/>
      <protection locked="0"/>
    </xf>
    <xf numFmtId="0" fontId="34" fillId="0" borderId="2" xfId="0" applyFont="1" applyFill="1" applyBorder="1" applyAlignment="1" applyProtection="1">
      <alignment horizontal="center" wrapText="1"/>
    </xf>
    <xf numFmtId="0" fontId="31" fillId="0" borderId="2" xfId="0" applyFont="1" applyFill="1" applyBorder="1" applyAlignment="1" applyProtection="1">
      <alignment horizontal="center" wrapText="1"/>
    </xf>
    <xf numFmtId="3" fontId="33" fillId="0" borderId="6" xfId="2" applyNumberFormat="1" applyFont="1" applyFill="1" applyBorder="1" applyAlignment="1" applyProtection="1">
      <alignment horizontal="center"/>
    </xf>
    <xf numFmtId="0" fontId="33" fillId="0" borderId="3" xfId="0" applyFont="1" applyFill="1" applyBorder="1" applyAlignment="1" applyProtection="1">
      <alignment horizontal="right"/>
    </xf>
    <xf numFmtId="3" fontId="33" fillId="0" borderId="3" xfId="2" applyNumberFormat="1" applyFont="1" applyFill="1" applyBorder="1" applyAlignment="1" applyProtection="1">
      <alignment horizontal="center"/>
    </xf>
    <xf numFmtId="3" fontId="33" fillId="0" borderId="13" xfId="2" applyNumberFormat="1" applyFont="1" applyFill="1" applyBorder="1" applyAlignment="1" applyProtection="1">
      <alignment horizontal="center"/>
    </xf>
    <xf numFmtId="0" fontId="33" fillId="0" borderId="4" xfId="0" applyFont="1" applyFill="1" applyBorder="1" applyAlignment="1" applyProtection="1">
      <alignment horizontal="right"/>
    </xf>
    <xf numFmtId="2" fontId="32" fillId="0" borderId="6" xfId="2" applyNumberFormat="1" applyFont="1" applyFill="1" applyBorder="1" applyAlignment="1" applyProtection="1">
      <alignment horizontal="center"/>
    </xf>
    <xf numFmtId="0" fontId="38" fillId="0" borderId="11" xfId="0" applyFont="1" applyFill="1" applyBorder="1" applyAlignment="1" applyProtection="1">
      <alignment horizontal="center"/>
    </xf>
    <xf numFmtId="0" fontId="33" fillId="0" borderId="0" xfId="0" applyFont="1" applyFill="1" applyProtection="1"/>
    <xf numFmtId="2" fontId="33" fillId="0" borderId="2" xfId="0" applyNumberFormat="1" applyFont="1" applyFill="1" applyBorder="1" applyAlignment="1" applyProtection="1">
      <alignment horizontal="center"/>
    </xf>
    <xf numFmtId="2" fontId="32" fillId="0" borderId="1" xfId="2" applyNumberFormat="1" applyFont="1" applyFill="1" applyBorder="1" applyAlignment="1" applyProtection="1">
      <alignment horizontal="center"/>
    </xf>
    <xf numFmtId="187" fontId="38" fillId="0" borderId="15" xfId="2" applyNumberFormat="1" applyFont="1" applyFill="1" applyBorder="1" applyAlignment="1" applyProtection="1">
      <alignment horizontal="left"/>
      <protection locked="0"/>
    </xf>
    <xf numFmtId="2" fontId="32" fillId="0" borderId="5" xfId="0" applyNumberFormat="1" applyFont="1" applyFill="1" applyBorder="1" applyAlignment="1" applyProtection="1">
      <alignment horizontal="center"/>
    </xf>
    <xf numFmtId="188" fontId="29" fillId="0" borderId="5" xfId="0" applyNumberFormat="1" applyFont="1" applyFill="1" applyBorder="1" applyAlignment="1" applyProtection="1">
      <alignment horizontal="center"/>
    </xf>
    <xf numFmtId="0" fontId="33" fillId="0" borderId="7" xfId="0" applyFont="1" applyFill="1" applyBorder="1" applyAlignment="1" applyProtection="1">
      <alignment horizontal="left"/>
    </xf>
    <xf numFmtId="0" fontId="31" fillId="0" borderId="7" xfId="0" applyFont="1" applyFill="1" applyBorder="1" applyAlignment="1" applyProtection="1">
      <alignment horizontal="center"/>
    </xf>
    <xf numFmtId="190" fontId="32" fillId="0" borderId="10" xfId="0" applyNumberFormat="1" applyFont="1" applyFill="1" applyBorder="1" applyAlignment="1" applyProtection="1">
      <alignment horizontal="center"/>
    </xf>
    <xf numFmtId="49" fontId="33" fillId="0" borderId="10" xfId="0" applyNumberFormat="1" applyFont="1" applyFill="1" applyBorder="1" applyAlignment="1" applyProtection="1">
      <alignment horizontal="left"/>
    </xf>
    <xf numFmtId="2" fontId="33" fillId="0" borderId="7" xfId="0" applyNumberFormat="1" applyFont="1" applyFill="1" applyBorder="1" applyAlignment="1" applyProtection="1">
      <alignment horizontal="center"/>
    </xf>
    <xf numFmtId="0" fontId="31" fillId="0" borderId="4" xfId="0" applyFont="1" applyFill="1" applyBorder="1" applyAlignment="1" applyProtection="1">
      <alignment horizontal="left"/>
    </xf>
    <xf numFmtId="49" fontId="33" fillId="0" borderId="14" xfId="0" applyNumberFormat="1" applyFont="1" applyFill="1" applyBorder="1" applyAlignment="1" applyProtection="1">
      <alignment horizontal="center"/>
    </xf>
    <xf numFmtId="49" fontId="33" fillId="0" borderId="11" xfId="0" applyNumberFormat="1" applyFont="1" applyFill="1" applyBorder="1" applyAlignment="1" applyProtection="1">
      <alignment horizontal="center"/>
    </xf>
    <xf numFmtId="187" fontId="38" fillId="0" borderId="11" xfId="2" applyNumberFormat="1" applyFont="1" applyFill="1" applyBorder="1" applyAlignment="1" applyProtection="1">
      <alignment horizontal="left"/>
      <protection locked="0"/>
    </xf>
    <xf numFmtId="190" fontId="32" fillId="0" borderId="14" xfId="0" applyNumberFormat="1" applyFont="1" applyFill="1" applyBorder="1" applyAlignment="1" applyProtection="1">
      <alignment horizontal="center"/>
    </xf>
    <xf numFmtId="0" fontId="33" fillId="0" borderId="6" xfId="0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1" fillId="0" borderId="11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center"/>
    </xf>
    <xf numFmtId="0" fontId="37" fillId="0" borderId="0" xfId="0" applyFont="1" applyFill="1" applyProtection="1"/>
    <xf numFmtId="2" fontId="38" fillId="0" borderId="15" xfId="2" applyNumberFormat="1" applyFont="1" applyFill="1" applyBorder="1" applyAlignment="1" applyProtection="1">
      <alignment horizontal="center"/>
      <protection locked="0"/>
    </xf>
    <xf numFmtId="3" fontId="33" fillId="0" borderId="3" xfId="2" quotePrefix="1" applyNumberFormat="1" applyFont="1" applyFill="1" applyBorder="1" applyAlignment="1" applyProtection="1">
      <alignment horizontal="center"/>
    </xf>
    <xf numFmtId="3" fontId="33" fillId="0" borderId="13" xfId="2" quotePrefix="1" applyNumberFormat="1" applyFont="1" applyFill="1" applyBorder="1" applyAlignment="1" applyProtection="1">
      <alignment horizontal="center"/>
    </xf>
    <xf numFmtId="187" fontId="43" fillId="0" borderId="15" xfId="2" applyNumberFormat="1" applyFont="1" applyFill="1" applyBorder="1" applyAlignment="1" applyProtection="1">
      <alignment horizontal="left"/>
      <protection locked="0"/>
    </xf>
    <xf numFmtId="187" fontId="43" fillId="0" borderId="15" xfId="2" applyNumberFormat="1" applyFont="1" applyFill="1" applyBorder="1" applyAlignment="1" applyProtection="1">
      <alignment horizontal="center"/>
      <protection locked="0"/>
    </xf>
    <xf numFmtId="0" fontId="31" fillId="0" borderId="0" xfId="0" applyFont="1" applyFill="1" applyAlignment="1" applyProtection="1">
      <alignment horizontal="left"/>
    </xf>
    <xf numFmtId="0" fontId="31" fillId="0" borderId="5" xfId="0" applyFont="1" applyFill="1" applyBorder="1" applyProtection="1"/>
    <xf numFmtId="0" fontId="31" fillId="0" borderId="5" xfId="0" applyFont="1" applyFill="1" applyBorder="1" applyAlignment="1" applyProtection="1">
      <alignment horizontal="center"/>
    </xf>
    <xf numFmtId="0" fontId="45" fillId="0" borderId="5" xfId="0" applyFont="1" applyFill="1" applyBorder="1" applyProtection="1"/>
    <xf numFmtId="0" fontId="45" fillId="0" borderId="5" xfId="0" applyFont="1" applyFill="1" applyBorder="1" applyAlignment="1" applyProtection="1">
      <alignment horizontal="center"/>
    </xf>
    <xf numFmtId="0" fontId="45" fillId="0" borderId="0" xfId="0" applyFont="1" applyFill="1" applyProtection="1"/>
    <xf numFmtId="0" fontId="31" fillId="0" borderId="6" xfId="0" applyFont="1" applyFill="1" applyBorder="1" applyProtection="1"/>
    <xf numFmtId="0" fontId="31" fillId="0" borderId="8" xfId="0" applyFont="1" applyFill="1" applyBorder="1" applyProtection="1"/>
    <xf numFmtId="4" fontId="31" fillId="0" borderId="8" xfId="0" applyNumberFormat="1" applyFont="1" applyFill="1" applyBorder="1" applyAlignment="1" applyProtection="1">
      <alignment horizontal="center"/>
    </xf>
    <xf numFmtId="0" fontId="31" fillId="0" borderId="2" xfId="0" applyFont="1" applyFill="1" applyBorder="1" applyProtection="1"/>
    <xf numFmtId="0" fontId="31" fillId="0" borderId="0" xfId="0" applyFont="1" applyFill="1" applyBorder="1" applyProtection="1"/>
    <xf numFmtId="4" fontId="31" fillId="0" borderId="0" xfId="0" applyNumberFormat="1" applyFont="1" applyFill="1" applyBorder="1" applyAlignment="1" applyProtection="1">
      <alignment horizontal="center"/>
    </xf>
    <xf numFmtId="0" fontId="31" fillId="0" borderId="7" xfId="0" applyFont="1" applyFill="1" applyBorder="1" applyProtection="1"/>
    <xf numFmtId="0" fontId="31" fillId="0" borderId="11" xfId="0" applyFont="1" applyFill="1" applyBorder="1" applyProtection="1"/>
    <xf numFmtId="4" fontId="31" fillId="0" borderId="11" xfId="0" applyNumberFormat="1" applyFont="1" applyFill="1" applyBorder="1" applyAlignment="1" applyProtection="1">
      <alignment horizontal="center"/>
    </xf>
    <xf numFmtId="0" fontId="31" fillId="0" borderId="14" xfId="0" applyFont="1" applyFill="1" applyBorder="1" applyProtection="1"/>
    <xf numFmtId="4" fontId="31" fillId="0" borderId="0" xfId="0" applyNumberFormat="1" applyFont="1" applyFill="1" applyProtection="1"/>
    <xf numFmtId="0" fontId="38" fillId="0" borderId="0" xfId="0" applyFont="1" applyFill="1" applyProtection="1"/>
    <xf numFmtId="0" fontId="46" fillId="0" borderId="0" xfId="0" applyFont="1" applyFill="1" applyProtection="1"/>
    <xf numFmtId="0" fontId="31" fillId="0" borderId="16" xfId="0" applyFont="1" applyFill="1" applyBorder="1" applyProtection="1"/>
    <xf numFmtId="0" fontId="31" fillId="0" borderId="17" xfId="0" applyFont="1" applyFill="1" applyBorder="1" applyProtection="1"/>
    <xf numFmtId="0" fontId="31" fillId="0" borderId="18" xfId="0" applyFont="1" applyFill="1" applyBorder="1" applyProtection="1"/>
    <xf numFmtId="4" fontId="31" fillId="0" borderId="5" xfId="0" applyNumberFormat="1" applyFont="1" applyFill="1" applyBorder="1" applyProtection="1"/>
    <xf numFmtId="0" fontId="38" fillId="0" borderId="0" xfId="0" applyFont="1" applyFill="1" applyAlignment="1" applyProtection="1">
      <alignment horizontal="left"/>
    </xf>
    <xf numFmtId="0" fontId="47" fillId="0" borderId="0" xfId="0" applyFont="1" applyAlignment="1">
      <alignment horizontal="center"/>
    </xf>
    <xf numFmtId="0" fontId="47" fillId="0" borderId="0" xfId="0" applyFont="1"/>
    <xf numFmtId="4" fontId="47" fillId="0" borderId="0" xfId="0" applyNumberFormat="1" applyFont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4" fontId="47" fillId="0" borderId="5" xfId="0" applyNumberFormat="1" applyFont="1" applyBorder="1" applyAlignment="1">
      <alignment horizontal="center"/>
    </xf>
    <xf numFmtId="0" fontId="47" fillId="0" borderId="8" xfId="0" applyFont="1" applyBorder="1"/>
    <xf numFmtId="4" fontId="47" fillId="0" borderId="1" xfId="0" applyNumberFormat="1" applyFont="1" applyBorder="1" applyAlignment="1">
      <alignment horizontal="center"/>
    </xf>
    <xf numFmtId="0" fontId="47" fillId="0" borderId="0" xfId="0" applyFont="1" applyBorder="1"/>
    <xf numFmtId="4" fontId="47" fillId="0" borderId="3" xfId="0" applyNumberFormat="1" applyFont="1" applyBorder="1" applyAlignment="1">
      <alignment horizontal="center"/>
    </xf>
    <xf numFmtId="0" fontId="47" fillId="0" borderId="11" xfId="0" applyFont="1" applyBorder="1"/>
    <xf numFmtId="4" fontId="47" fillId="0" borderId="4" xfId="0" applyNumberFormat="1" applyFont="1" applyBorder="1" applyAlignment="1">
      <alignment horizontal="center"/>
    </xf>
    <xf numFmtId="0" fontId="47" fillId="0" borderId="0" xfId="0" applyFont="1" applyAlignment="1">
      <alignment horizontal="right"/>
    </xf>
    <xf numFmtId="4" fontId="48" fillId="0" borderId="5" xfId="0" applyNumberFormat="1" applyFont="1" applyBorder="1" applyAlignment="1">
      <alignment horizontal="center"/>
    </xf>
    <xf numFmtId="4" fontId="48" fillId="0" borderId="9" xfId="0" applyNumberFormat="1" applyFont="1" applyBorder="1" applyAlignment="1">
      <alignment horizontal="center"/>
    </xf>
    <xf numFmtId="4" fontId="48" fillId="0" borderId="10" xfId="0" applyNumberFormat="1" applyFont="1" applyBorder="1" applyAlignment="1">
      <alignment horizontal="center"/>
    </xf>
    <xf numFmtId="4" fontId="48" fillId="0" borderId="14" xfId="0" applyNumberFormat="1" applyFont="1" applyBorder="1" applyAlignment="1">
      <alignment horizontal="center"/>
    </xf>
    <xf numFmtId="0" fontId="44" fillId="0" borderId="5" xfId="0" applyFont="1" applyFill="1" applyBorder="1" applyAlignment="1" applyProtection="1">
      <alignment horizontal="center"/>
    </xf>
    <xf numFmtId="4" fontId="44" fillId="0" borderId="5" xfId="0" applyNumberFormat="1" applyFont="1" applyFill="1" applyBorder="1" applyProtection="1"/>
    <xf numFmtId="4" fontId="44" fillId="0" borderId="1" xfId="0" applyNumberFormat="1" applyFont="1" applyFill="1" applyBorder="1" applyProtection="1"/>
    <xf numFmtId="4" fontId="44" fillId="0" borderId="3" xfId="0" applyNumberFormat="1" applyFont="1" applyFill="1" applyBorder="1" applyProtection="1"/>
    <xf numFmtId="4" fontId="44" fillId="0" borderId="6" xfId="0" applyNumberFormat="1" applyFont="1" applyFill="1" applyBorder="1" applyProtection="1"/>
    <xf numFmtId="4" fontId="44" fillId="0" borderId="2" xfId="0" applyNumberFormat="1" applyFont="1" applyFill="1" applyBorder="1" applyProtection="1"/>
    <xf numFmtId="4" fontId="44" fillId="0" borderId="7" xfId="0" applyNumberFormat="1" applyFont="1" applyFill="1" applyBorder="1" applyProtection="1"/>
    <xf numFmtId="4" fontId="45" fillId="0" borderId="0" xfId="0" applyNumberFormat="1" applyFont="1" applyFill="1" applyAlignment="1" applyProtection="1">
      <alignment horizontal="center"/>
    </xf>
    <xf numFmtId="4" fontId="45" fillId="0" borderId="0" xfId="0" applyNumberFormat="1" applyFont="1" applyFill="1" applyProtection="1"/>
    <xf numFmtId="191" fontId="45" fillId="0" borderId="0" xfId="0" applyNumberFormat="1" applyFont="1" applyFill="1" applyProtection="1"/>
    <xf numFmtId="10" fontId="33" fillId="0" borderId="1" xfId="2" applyNumberFormat="1" applyFont="1" applyFill="1" applyBorder="1" applyAlignment="1" applyProtection="1">
      <alignment horizontal="center"/>
      <protection locked="0"/>
    </xf>
    <xf numFmtId="0" fontId="44" fillId="0" borderId="0" xfId="0" applyFont="1" applyFill="1" applyProtection="1"/>
    <xf numFmtId="0" fontId="47" fillId="0" borderId="1" xfId="0" applyFont="1" applyBorder="1" applyAlignment="1">
      <alignment horizontal="center"/>
    </xf>
    <xf numFmtId="0" fontId="47" fillId="0" borderId="3" xfId="0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47" fillId="0" borderId="3" xfId="0" applyFont="1" applyBorder="1"/>
    <xf numFmtId="0" fontId="47" fillId="0" borderId="4" xfId="0" applyFont="1" applyBorder="1"/>
    <xf numFmtId="192" fontId="38" fillId="0" borderId="15" xfId="2" applyNumberFormat="1" applyFont="1" applyFill="1" applyBorder="1" applyAlignment="1" applyProtection="1">
      <alignment horizontal="left"/>
      <protection locked="0"/>
    </xf>
    <xf numFmtId="2" fontId="45" fillId="0" borderId="0" xfId="0" applyNumberFormat="1" applyFont="1" applyFill="1" applyProtection="1"/>
    <xf numFmtId="0" fontId="49" fillId="0" borderId="0" xfId="0" applyFont="1" applyFill="1" applyProtection="1"/>
    <xf numFmtId="0" fontId="50" fillId="0" borderId="0" xfId="0" applyFont="1" applyFill="1" applyProtection="1"/>
    <xf numFmtId="3" fontId="51" fillId="0" borderId="1" xfId="2" applyNumberFormat="1" applyFont="1" applyFill="1" applyBorder="1" applyAlignment="1" applyProtection="1">
      <alignment horizontal="center"/>
      <protection locked="0"/>
    </xf>
    <xf numFmtId="0" fontId="31" fillId="0" borderId="0" xfId="0" applyFont="1" applyFill="1" applyAlignment="1" applyProtection="1">
      <alignment horizontal="right"/>
    </xf>
    <xf numFmtId="0" fontId="51" fillId="0" borderId="0" xfId="0" applyFont="1" applyFill="1" applyAlignment="1" applyProtection="1">
      <alignment horizontal="right"/>
    </xf>
    <xf numFmtId="3" fontId="31" fillId="0" borderId="0" xfId="0" applyNumberFormat="1" applyFont="1" applyFill="1" applyAlignment="1" applyProtection="1">
      <alignment horizontal="center"/>
    </xf>
    <xf numFmtId="0" fontId="47" fillId="0" borderId="0" xfId="0" applyFont="1" applyBorder="1" applyAlignment="1">
      <alignment horizontal="center"/>
    </xf>
    <xf numFmtId="4" fontId="47" fillId="0" borderId="0" xfId="0" applyNumberFormat="1" applyFont="1" applyBorder="1" applyAlignment="1">
      <alignment horizontal="center"/>
    </xf>
    <xf numFmtId="4" fontId="48" fillId="0" borderId="0" xfId="0" applyNumberFormat="1" applyFont="1" applyBorder="1" applyAlignment="1">
      <alignment horizontal="center"/>
    </xf>
    <xf numFmtId="3" fontId="31" fillId="0" borderId="5" xfId="0" applyNumberFormat="1" applyFont="1" applyFill="1" applyBorder="1" applyAlignment="1" applyProtection="1">
      <alignment horizontal="center"/>
    </xf>
    <xf numFmtId="4" fontId="31" fillId="0" borderId="1" xfId="0" applyNumberFormat="1" applyFont="1" applyFill="1" applyBorder="1" applyAlignment="1" applyProtection="1">
      <alignment horizontal="center"/>
    </xf>
    <xf numFmtId="0" fontId="31" fillId="0" borderId="1" xfId="0" applyFont="1" applyFill="1" applyBorder="1" applyAlignment="1" applyProtection="1">
      <alignment horizontal="center"/>
    </xf>
    <xf numFmtId="3" fontId="31" fillId="0" borderId="2" xfId="0" applyNumberFormat="1" applyFont="1" applyFill="1" applyBorder="1" applyAlignment="1" applyProtection="1"/>
    <xf numFmtId="3" fontId="31" fillId="0" borderId="0" xfId="0" applyNumberFormat="1" applyFont="1" applyFill="1" applyAlignment="1" applyProtection="1"/>
    <xf numFmtId="3" fontId="31" fillId="0" borderId="2" xfId="0" applyNumberFormat="1" applyFont="1" applyFill="1" applyBorder="1" applyAlignment="1" applyProtection="1">
      <alignment horizontal="left"/>
    </xf>
    <xf numFmtId="3" fontId="31" fillId="0" borderId="0" xfId="0" applyNumberFormat="1" applyFont="1" applyFill="1" applyAlignment="1" applyProtection="1">
      <alignment horizontal="left"/>
    </xf>
    <xf numFmtId="3" fontId="31" fillId="0" borderId="5" xfId="0" applyNumberFormat="1" applyFont="1" applyFill="1" applyBorder="1" applyAlignment="1" applyProtection="1">
      <alignment horizontal="left"/>
    </xf>
    <xf numFmtId="0" fontId="33" fillId="5" borderId="5" xfId="0" applyFont="1" applyFill="1" applyBorder="1" applyAlignment="1" applyProtection="1">
      <alignment horizontal="center"/>
    </xf>
    <xf numFmtId="4" fontId="31" fillId="0" borderId="3" xfId="0" applyNumberFormat="1" applyFont="1" applyFill="1" applyBorder="1" applyAlignment="1" applyProtection="1">
      <alignment horizontal="center"/>
    </xf>
    <xf numFmtId="0" fontId="44" fillId="0" borderId="0" xfId="0" applyFont="1" applyFill="1" applyAlignment="1" applyProtection="1">
      <alignment horizontal="right"/>
    </xf>
    <xf numFmtId="4" fontId="31" fillId="0" borderId="4" xfId="0" applyNumberFormat="1" applyFont="1" applyFill="1" applyBorder="1" applyAlignment="1" applyProtection="1">
      <alignment horizontal="center"/>
    </xf>
    <xf numFmtId="4" fontId="31" fillId="0" borderId="8" xfId="0" applyNumberFormat="1" applyFont="1" applyFill="1" applyBorder="1" applyProtection="1"/>
    <xf numFmtId="0" fontId="47" fillId="0" borderId="6" xfId="0" applyFont="1" applyBorder="1" applyAlignment="1">
      <alignment horizontal="left"/>
    </xf>
    <xf numFmtId="0" fontId="47" fillId="0" borderId="2" xfId="0" applyFont="1" applyBorder="1"/>
    <xf numFmtId="4" fontId="47" fillId="0" borderId="10" xfId="0" applyNumberFormat="1" applyFont="1" applyBorder="1" applyAlignment="1">
      <alignment horizontal="center"/>
    </xf>
    <xf numFmtId="4" fontId="31" fillId="0" borderId="0" xfId="0" applyNumberFormat="1" applyFont="1" applyFill="1" applyBorder="1" applyProtection="1"/>
    <xf numFmtId="0" fontId="52" fillId="0" borderId="0" xfId="0" applyFont="1" applyFill="1" applyProtection="1"/>
    <xf numFmtId="0" fontId="48" fillId="0" borderId="5" xfId="0" applyFont="1" applyBorder="1"/>
    <xf numFmtId="0" fontId="31" fillId="0" borderId="0" xfId="0" applyFont="1" applyFill="1" applyBorder="1" applyAlignment="1" applyProtection="1">
      <alignment horizontal="right"/>
    </xf>
    <xf numFmtId="193" fontId="45" fillId="0" borderId="0" xfId="0" applyNumberFormat="1" applyFont="1" applyFill="1" applyAlignment="1" applyProtection="1">
      <alignment horizontal="center"/>
    </xf>
    <xf numFmtId="0" fontId="33" fillId="0" borderId="0" xfId="0" applyFont="1" applyFill="1" applyBorder="1" applyAlignment="1" applyProtection="1">
      <alignment horizontal="left"/>
    </xf>
    <xf numFmtId="187" fontId="38" fillId="0" borderId="15" xfId="2" applyNumberFormat="1" applyFont="1" applyFill="1" applyBorder="1" applyAlignment="1" applyProtection="1">
      <alignment horizontal="center"/>
      <protection locked="0"/>
    </xf>
    <xf numFmtId="0" fontId="33" fillId="0" borderId="7" xfId="0" applyFont="1" applyFill="1" applyBorder="1" applyAlignment="1" applyProtection="1">
      <alignment horizontal="center"/>
    </xf>
    <xf numFmtId="0" fontId="33" fillId="0" borderId="11" xfId="0" applyFont="1" applyFill="1" applyBorder="1" applyAlignment="1" applyProtection="1">
      <alignment horizontal="center"/>
    </xf>
    <xf numFmtId="0" fontId="33" fillId="0" borderId="14" xfId="0" applyFont="1" applyFill="1" applyBorder="1" applyAlignment="1" applyProtection="1">
      <alignment horizontal="center"/>
    </xf>
    <xf numFmtId="0" fontId="33" fillId="0" borderId="5" xfId="0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6" xfId="0" applyFont="1" applyFill="1" applyBorder="1" applyAlignment="1" applyProtection="1">
      <alignment horizontal="left"/>
    </xf>
    <xf numFmtId="3" fontId="31" fillId="0" borderId="0" xfId="0" applyNumberFormat="1" applyFont="1" applyFill="1" applyAlignment="1" applyProtection="1">
      <alignment horizontal="left"/>
    </xf>
    <xf numFmtId="0" fontId="33" fillId="0" borderId="7" xfId="0" applyFont="1" applyFill="1" applyBorder="1" applyAlignment="1" applyProtection="1">
      <alignment horizontal="left"/>
    </xf>
    <xf numFmtId="3" fontId="44" fillId="0" borderId="5" xfId="0" applyNumberFormat="1" applyFont="1" applyFill="1" applyBorder="1" applyProtection="1"/>
    <xf numFmtId="193" fontId="44" fillId="0" borderId="5" xfId="0" applyNumberFormat="1" applyFont="1" applyFill="1" applyBorder="1" applyAlignment="1" applyProtection="1">
      <alignment horizontal="center"/>
    </xf>
    <xf numFmtId="4" fontId="31" fillId="0" borderId="0" xfId="0" applyNumberFormat="1" applyFont="1" applyFill="1" applyAlignment="1" applyProtection="1">
      <alignment horizontal="center"/>
    </xf>
    <xf numFmtId="0" fontId="37" fillId="0" borderId="0" xfId="0" applyFont="1" applyFill="1" applyAlignment="1" applyProtection="1">
      <alignment horizontal="left"/>
    </xf>
    <xf numFmtId="2" fontId="32" fillId="0" borderId="2" xfId="0" applyNumberFormat="1" applyFont="1" applyFill="1" applyBorder="1" applyAlignment="1" applyProtection="1">
      <alignment horizontal="center"/>
    </xf>
    <xf numFmtId="9" fontId="34" fillId="0" borderId="2" xfId="4" applyNumberFormat="1" applyFont="1" applyFill="1" applyBorder="1" applyAlignment="1" applyProtection="1">
      <alignment horizontal="center"/>
    </xf>
    <xf numFmtId="187" fontId="38" fillId="0" borderId="0" xfId="2" applyNumberFormat="1" applyFont="1" applyFill="1" applyBorder="1" applyAlignment="1" applyProtection="1">
      <alignment horizontal="left"/>
      <protection locked="0"/>
    </xf>
    <xf numFmtId="49" fontId="33" fillId="0" borderId="10" xfId="0" applyNumberFormat="1" applyFont="1" applyFill="1" applyBorder="1" applyAlignment="1" applyProtection="1">
      <alignment horizontal="center"/>
    </xf>
    <xf numFmtId="187" fontId="38" fillId="0" borderId="0" xfId="2" quotePrefix="1" applyNumberFormat="1" applyFont="1" applyFill="1" applyBorder="1" applyAlignment="1" applyProtection="1">
      <alignment horizontal="center"/>
      <protection locked="0"/>
    </xf>
    <xf numFmtId="194" fontId="33" fillId="0" borderId="1" xfId="2" applyNumberFormat="1" applyFont="1" applyFill="1" applyBorder="1" applyAlignment="1" applyProtection="1">
      <alignment horizontal="center"/>
      <protection locked="0"/>
    </xf>
    <xf numFmtId="3" fontId="37" fillId="0" borderId="13" xfId="2" applyNumberFormat="1" applyFont="1" applyFill="1" applyBorder="1" applyAlignment="1" applyProtection="1">
      <alignment horizontal="center"/>
    </xf>
    <xf numFmtId="3" fontId="34" fillId="0" borderId="3" xfId="0" applyNumberFormat="1" applyFont="1" applyFill="1" applyBorder="1" applyAlignment="1" applyProtection="1">
      <alignment horizontal="center" wrapText="1"/>
    </xf>
    <xf numFmtId="3" fontId="31" fillId="0" borderId="5" xfId="0" applyNumberFormat="1" applyFont="1" applyFill="1" applyBorder="1" applyProtection="1"/>
    <xf numFmtId="193" fontId="31" fillId="0" borderId="5" xfId="0" applyNumberFormat="1" applyFont="1" applyFill="1" applyBorder="1" applyAlignment="1" applyProtection="1">
      <alignment horizontal="center"/>
    </xf>
    <xf numFmtId="4" fontId="47" fillId="0" borderId="5" xfId="0" applyNumberFormat="1" applyFont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</xf>
    <xf numFmtId="194" fontId="51" fillId="0" borderId="1" xfId="2" applyNumberFormat="1" applyFont="1" applyFill="1" applyBorder="1" applyAlignment="1" applyProtection="1">
      <alignment horizontal="center"/>
      <protection locked="0"/>
    </xf>
    <xf numFmtId="3" fontId="51" fillId="0" borderId="3" xfId="2" applyNumberFormat="1" applyFont="1" applyFill="1" applyBorder="1" applyAlignment="1" applyProtection="1">
      <alignment horizontal="center"/>
      <protection locked="0"/>
    </xf>
    <xf numFmtId="3" fontId="51" fillId="0" borderId="3" xfId="2" applyNumberFormat="1" applyFont="1" applyFill="1" applyBorder="1" applyAlignment="1" applyProtection="1">
      <alignment horizontal="center"/>
    </xf>
    <xf numFmtId="0" fontId="51" fillId="0" borderId="13" xfId="2" applyNumberFormat="1" applyFont="1" applyFill="1" applyBorder="1" applyAlignment="1" applyProtection="1">
      <alignment horizontal="center"/>
    </xf>
    <xf numFmtId="0" fontId="53" fillId="0" borderId="0" xfId="0" applyFont="1" applyFill="1" applyProtection="1"/>
    <xf numFmtId="3" fontId="31" fillId="0" borderId="0" xfId="0" applyNumberFormat="1" applyFont="1" applyFill="1" applyBorder="1" applyAlignment="1" applyProtection="1">
      <alignment horizontal="center"/>
    </xf>
    <xf numFmtId="3" fontId="31" fillId="0" borderId="0" xfId="0" applyNumberFormat="1" applyFont="1" applyFill="1" applyBorder="1" applyProtection="1"/>
    <xf numFmtId="43" fontId="31" fillId="0" borderId="0" xfId="0" applyNumberFormat="1" applyFont="1" applyFill="1" applyProtection="1"/>
    <xf numFmtId="4" fontId="54" fillId="0" borderId="5" xfId="0" applyNumberFormat="1" applyFont="1" applyBorder="1" applyAlignment="1">
      <alignment horizontal="center"/>
    </xf>
    <xf numFmtId="192" fontId="38" fillId="0" borderId="15" xfId="2" applyNumberFormat="1" applyFont="1" applyFill="1" applyBorder="1" applyAlignment="1" applyProtection="1">
      <alignment horizontal="center"/>
      <protection locked="0"/>
    </xf>
    <xf numFmtId="0" fontId="37" fillId="0" borderId="3" xfId="0" applyFont="1" applyFill="1" applyBorder="1" applyAlignment="1" applyProtection="1">
      <alignment horizontal="right"/>
    </xf>
    <xf numFmtId="0" fontId="31" fillId="0" borderId="1" xfId="0" applyFont="1" applyFill="1" applyBorder="1" applyProtection="1"/>
    <xf numFmtId="4" fontId="31" fillId="0" borderId="18" xfId="0" applyNumberFormat="1" applyFont="1" applyFill="1" applyBorder="1" applyProtection="1"/>
    <xf numFmtId="2" fontId="31" fillId="0" borderId="5" xfId="0" applyNumberFormat="1" applyFont="1" applyFill="1" applyBorder="1" applyAlignment="1" applyProtection="1">
      <alignment horizontal="center"/>
    </xf>
    <xf numFmtId="4" fontId="44" fillId="0" borderId="0" xfId="0" applyNumberFormat="1" applyFont="1" applyFill="1" applyBorder="1" applyProtection="1"/>
    <xf numFmtId="192" fontId="38" fillId="0" borderId="0" xfId="2" applyNumberFormat="1" applyFont="1" applyFill="1" applyBorder="1" applyAlignment="1" applyProtection="1">
      <alignment horizontal="center"/>
      <protection locked="0"/>
    </xf>
    <xf numFmtId="3" fontId="51" fillId="0" borderId="1" xfId="2" quotePrefix="1" applyNumberFormat="1" applyFont="1" applyFill="1" applyBorder="1" applyAlignment="1" applyProtection="1">
      <alignment horizontal="center"/>
      <protection locked="0"/>
    </xf>
    <xf numFmtId="191" fontId="33" fillId="0" borderId="0" xfId="0" applyNumberFormat="1" applyFont="1" applyFill="1" applyAlignment="1" applyProtection="1">
      <alignment horizontal="center"/>
    </xf>
    <xf numFmtId="0" fontId="37" fillId="0" borderId="5" xfId="0" applyFont="1" applyFill="1" applyBorder="1" applyProtection="1"/>
    <xf numFmtId="191" fontId="33" fillId="0" borderId="5" xfId="0" applyNumberFormat="1" applyFont="1" applyFill="1" applyBorder="1" applyAlignment="1" applyProtection="1">
      <alignment horizontal="center"/>
    </xf>
    <xf numFmtId="0" fontId="33" fillId="0" borderId="0" xfId="0" applyFont="1" applyFill="1" applyAlignment="1" applyProtection="1">
      <alignment horizontal="left"/>
    </xf>
    <xf numFmtId="187" fontId="38" fillId="0" borderId="0" xfId="2" applyNumberFormat="1" applyFont="1" applyFill="1" applyBorder="1" applyAlignment="1" applyProtection="1">
      <alignment horizontal="center"/>
      <protection locked="0"/>
    </xf>
    <xf numFmtId="2" fontId="31" fillId="0" borderId="5" xfId="0" applyNumberFormat="1" applyFont="1" applyFill="1" applyBorder="1" applyProtection="1"/>
    <xf numFmtId="191" fontId="44" fillId="0" borderId="18" xfId="0" applyNumberFormat="1" applyFont="1" applyFill="1" applyBorder="1" applyProtection="1"/>
    <xf numFmtId="3" fontId="31" fillId="0" borderId="0" xfId="0" applyNumberFormat="1" applyFont="1" applyFill="1" applyBorder="1" applyAlignment="1" applyProtection="1"/>
    <xf numFmtId="2" fontId="31" fillId="0" borderId="0" xfId="0" applyNumberFormat="1" applyFont="1" applyFill="1" applyProtection="1"/>
    <xf numFmtId="192" fontId="31" fillId="0" borderId="0" xfId="0" applyNumberFormat="1" applyFont="1" applyFill="1" applyProtection="1"/>
    <xf numFmtId="4" fontId="45" fillId="0" borderId="5" xfId="0" applyNumberFormat="1" applyFont="1" applyFill="1" applyBorder="1" applyProtection="1"/>
    <xf numFmtId="191" fontId="31" fillId="0" borderId="1" xfId="0" applyNumberFormat="1" applyFont="1" applyFill="1" applyBorder="1" applyAlignment="1" applyProtection="1">
      <alignment horizontal="center"/>
    </xf>
    <xf numFmtId="191" fontId="31" fillId="0" borderId="3" xfId="0" applyNumberFormat="1" applyFont="1" applyFill="1" applyBorder="1" applyAlignment="1" applyProtection="1">
      <alignment horizontal="center"/>
    </xf>
    <xf numFmtId="191" fontId="31" fillId="0" borderId="4" xfId="0" applyNumberFormat="1" applyFont="1" applyFill="1" applyBorder="1" applyAlignment="1" applyProtection="1">
      <alignment horizontal="center"/>
    </xf>
    <xf numFmtId="191" fontId="45" fillId="0" borderId="0" xfId="0" applyNumberFormat="1" applyFont="1" applyFill="1" applyAlignment="1" applyProtection="1">
      <alignment horizontal="center"/>
    </xf>
    <xf numFmtId="2" fontId="31" fillId="0" borderId="1" xfId="0" applyNumberFormat="1" applyFont="1" applyFill="1" applyBorder="1" applyProtection="1"/>
    <xf numFmtId="2" fontId="49" fillId="0" borderId="1" xfId="0" applyNumberFormat="1" applyFont="1" applyFill="1" applyBorder="1" applyProtection="1"/>
    <xf numFmtId="4" fontId="54" fillId="0" borderId="0" xfId="0" applyNumberFormat="1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2" fontId="31" fillId="0" borderId="3" xfId="0" applyNumberFormat="1" applyFont="1" applyFill="1" applyBorder="1" applyProtection="1"/>
    <xf numFmtId="2" fontId="49" fillId="0" borderId="3" xfId="0" applyNumberFormat="1" applyFont="1" applyFill="1" applyBorder="1" applyProtection="1"/>
    <xf numFmtId="2" fontId="31" fillId="0" borderId="4" xfId="0" applyNumberFormat="1" applyFont="1" applyFill="1" applyBorder="1" applyProtection="1"/>
    <xf numFmtId="2" fontId="49" fillId="0" borderId="4" xfId="0" applyNumberFormat="1" applyFont="1" applyFill="1" applyBorder="1" applyProtection="1"/>
    <xf numFmtId="189" fontId="31" fillId="0" borderId="0" xfId="0" applyNumberFormat="1" applyFont="1" applyFill="1" applyProtection="1"/>
    <xf numFmtId="2" fontId="44" fillId="0" borderId="5" xfId="0" applyNumberFormat="1" applyFont="1" applyFill="1" applyBorder="1" applyProtection="1"/>
    <xf numFmtId="0" fontId="31" fillId="0" borderId="4" xfId="0" applyFont="1" applyFill="1" applyBorder="1" applyProtection="1"/>
    <xf numFmtId="188" fontId="31" fillId="0" borderId="0" xfId="0" applyNumberFormat="1" applyFont="1" applyFill="1" applyProtection="1"/>
    <xf numFmtId="2" fontId="50" fillId="0" borderId="0" xfId="0" applyNumberFormat="1" applyFont="1" applyFill="1" applyAlignment="1" applyProtection="1">
      <alignment horizontal="left"/>
    </xf>
    <xf numFmtId="43" fontId="50" fillId="0" borderId="0" xfId="0" applyNumberFormat="1" applyFont="1" applyFill="1" applyProtection="1"/>
    <xf numFmtId="0" fontId="45" fillId="0" borderId="0" xfId="0" applyFont="1" applyFill="1" applyBorder="1" applyProtection="1"/>
    <xf numFmtId="4" fontId="31" fillId="0" borderId="5" xfId="0" applyNumberFormat="1" applyFont="1" applyFill="1" applyBorder="1" applyAlignment="1" applyProtection="1">
      <alignment horizontal="center"/>
    </xf>
    <xf numFmtId="0" fontId="47" fillId="0" borderId="5" xfId="0" applyFont="1" applyBorder="1" applyAlignment="1">
      <alignment horizontal="left"/>
    </xf>
    <xf numFmtId="0" fontId="51" fillId="0" borderId="0" xfId="0" applyFont="1" applyFill="1" applyProtection="1"/>
    <xf numFmtId="0" fontId="50" fillId="0" borderId="0" xfId="0" applyFont="1" applyFill="1" applyAlignment="1" applyProtection="1">
      <alignment horizontal="left"/>
    </xf>
    <xf numFmtId="192" fontId="51" fillId="0" borderId="0" xfId="0" applyNumberFormat="1" applyFont="1" applyFill="1" applyProtection="1"/>
    <xf numFmtId="39" fontId="31" fillId="0" borderId="0" xfId="0" applyNumberFormat="1" applyFont="1" applyFill="1" applyAlignment="1" applyProtection="1">
      <alignment horizontal="left"/>
    </xf>
    <xf numFmtId="0" fontId="31" fillId="0" borderId="16" xfId="0" applyFont="1" applyFill="1" applyBorder="1" applyAlignment="1" applyProtection="1">
      <alignment horizontal="left"/>
    </xf>
    <xf numFmtId="191" fontId="45" fillId="0" borderId="5" xfId="0" applyNumberFormat="1" applyFont="1" applyFill="1" applyBorder="1" applyProtection="1"/>
    <xf numFmtId="43" fontId="37" fillId="0" borderId="0" xfId="0" applyNumberFormat="1" applyFont="1" applyFill="1" applyProtection="1"/>
    <xf numFmtId="2" fontId="31" fillId="0" borderId="0" xfId="0" applyNumberFormat="1" applyFont="1" applyFill="1" applyBorder="1" applyProtection="1"/>
    <xf numFmtId="195" fontId="38" fillId="0" borderId="15" xfId="2" applyNumberFormat="1" applyFont="1" applyFill="1" applyBorder="1" applyAlignment="1" applyProtection="1">
      <alignment horizontal="center"/>
      <protection locked="0"/>
    </xf>
    <xf numFmtId="2" fontId="31" fillId="0" borderId="0" xfId="0" applyNumberFormat="1" applyFont="1" applyFill="1" applyAlignment="1" applyProtection="1">
      <alignment horizontal="left"/>
    </xf>
    <xf numFmtId="2" fontId="45" fillId="0" borderId="5" xfId="0" applyNumberFormat="1" applyFont="1" applyFill="1" applyBorder="1" applyAlignment="1" applyProtection="1">
      <alignment horizontal="center"/>
    </xf>
    <xf numFmtId="196" fontId="31" fillId="0" borderId="0" xfId="0" applyNumberFormat="1" applyFont="1" applyFill="1" applyAlignment="1" applyProtection="1">
      <alignment horizontal="left"/>
    </xf>
    <xf numFmtId="197" fontId="38" fillId="0" borderId="15" xfId="2" applyNumberFormat="1" applyFont="1" applyFill="1" applyBorder="1" applyAlignment="1" applyProtection="1">
      <alignment horizontal="center"/>
      <protection locked="0"/>
    </xf>
    <xf numFmtId="3" fontId="37" fillId="0" borderId="1" xfId="2" applyNumberFormat="1" applyFont="1" applyFill="1" applyBorder="1" applyAlignment="1" applyProtection="1">
      <alignment horizontal="center"/>
      <protection locked="0"/>
    </xf>
    <xf numFmtId="0" fontId="47" fillId="0" borderId="1" xfId="0" applyFont="1" applyBorder="1"/>
    <xf numFmtId="0" fontId="5" fillId="0" borderId="6" xfId="3" applyFont="1" applyFill="1" applyBorder="1" applyAlignment="1" applyProtection="1">
      <alignment horizontal="left"/>
    </xf>
    <xf numFmtId="0" fontId="5" fillId="0" borderId="8" xfId="3" applyFont="1" applyFill="1" applyBorder="1" applyAlignment="1" applyProtection="1">
      <alignment horizontal="left"/>
    </xf>
    <xf numFmtId="0" fontId="5" fillId="0" borderId="9" xfId="3" applyFont="1" applyFill="1" applyBorder="1" applyAlignment="1" applyProtection="1">
      <alignment horizontal="left"/>
    </xf>
    <xf numFmtId="0" fontId="5" fillId="0" borderId="2" xfId="3" applyFont="1" applyFill="1" applyBorder="1" applyAlignment="1" applyProtection="1">
      <alignment horizontal="left"/>
    </xf>
    <xf numFmtId="0" fontId="5" fillId="0" borderId="0" xfId="3" applyFont="1" applyFill="1" applyBorder="1" applyAlignment="1" applyProtection="1">
      <alignment horizontal="left"/>
    </xf>
    <xf numFmtId="0" fontId="5" fillId="0" borderId="10" xfId="3" applyFont="1" applyFill="1" applyBorder="1" applyAlignment="1" applyProtection="1">
      <alignment horizontal="left"/>
    </xf>
    <xf numFmtId="0" fontId="7" fillId="0" borderId="16" xfId="3" applyFont="1" applyFill="1" applyBorder="1" applyAlignment="1" applyProtection="1">
      <alignment horizontal="right"/>
    </xf>
    <xf numFmtId="0" fontId="7" fillId="0" borderId="17" xfId="3" applyFont="1" applyFill="1" applyBorder="1" applyAlignment="1" applyProtection="1">
      <alignment horizontal="right"/>
    </xf>
    <xf numFmtId="0" fontId="7" fillId="0" borderId="18" xfId="3" applyFont="1" applyFill="1" applyBorder="1" applyAlignment="1" applyProtection="1">
      <alignment horizontal="right"/>
    </xf>
    <xf numFmtId="0" fontId="5" fillId="0" borderId="7" xfId="3" applyFont="1" applyFill="1" applyBorder="1" applyAlignment="1" applyProtection="1">
      <alignment horizontal="center"/>
    </xf>
    <xf numFmtId="0" fontId="4" fillId="0" borderId="11" xfId="3" applyFont="1" applyFill="1" applyBorder="1" applyAlignment="1" applyProtection="1">
      <alignment horizontal="center"/>
    </xf>
    <xf numFmtId="0" fontId="4" fillId="0" borderId="14" xfId="3" applyFont="1" applyFill="1" applyBorder="1" applyAlignment="1" applyProtection="1">
      <alignment horizontal="center"/>
    </xf>
    <xf numFmtId="0" fontId="5" fillId="0" borderId="11" xfId="3" applyFont="1" applyFill="1" applyBorder="1" applyAlignment="1" applyProtection="1">
      <alignment horizontal="center"/>
    </xf>
    <xf numFmtId="0" fontId="5" fillId="0" borderId="14" xfId="3" applyFont="1" applyFill="1" applyBorder="1" applyAlignment="1" applyProtection="1">
      <alignment horizontal="center"/>
    </xf>
    <xf numFmtId="0" fontId="4" fillId="0" borderId="7" xfId="3" applyFont="1" applyFill="1" applyBorder="1" applyAlignment="1" applyProtection="1">
      <alignment horizontal="center"/>
    </xf>
    <xf numFmtId="0" fontId="5" fillId="0" borderId="2" xfId="3" applyFont="1" applyFill="1" applyBorder="1" applyAlignment="1" applyProtection="1"/>
    <xf numFmtId="0" fontId="5" fillId="0" borderId="0" xfId="3" applyFont="1" applyFill="1" applyBorder="1" applyAlignment="1" applyProtection="1"/>
    <xf numFmtId="0" fontId="5" fillId="0" borderId="10" xfId="3" applyFont="1" applyFill="1" applyBorder="1" applyAlignment="1" applyProtection="1"/>
    <xf numFmtId="0" fontId="4" fillId="0" borderId="0" xfId="3" applyFont="1" applyFill="1" applyBorder="1" applyAlignment="1" applyProtection="1"/>
    <xf numFmtId="0" fontId="4" fillId="0" borderId="10" xfId="3" applyFont="1" applyFill="1" applyBorder="1" applyAlignment="1" applyProtection="1"/>
    <xf numFmtId="0" fontId="5" fillId="0" borderId="18" xfId="3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 applyProtection="1">
      <alignment horizontal="center"/>
    </xf>
    <xf numFmtId="0" fontId="5" fillId="0" borderId="16" xfId="3" applyFont="1" applyFill="1" applyBorder="1" applyAlignment="1" applyProtection="1">
      <alignment horizontal="left"/>
    </xf>
    <xf numFmtId="0" fontId="5" fillId="0" borderId="18" xfId="3" applyFont="1" applyFill="1" applyBorder="1" applyAlignment="1" applyProtection="1">
      <alignment horizontal="left"/>
    </xf>
    <xf numFmtId="0" fontId="5" fillId="0" borderId="7" xfId="3" applyFont="1" applyFill="1" applyBorder="1" applyAlignment="1" applyProtection="1">
      <alignment horizontal="left"/>
    </xf>
    <xf numFmtId="0" fontId="5" fillId="0" borderId="14" xfId="3" applyFont="1" applyFill="1" applyBorder="1" applyAlignment="1" applyProtection="1">
      <alignment horizontal="left"/>
    </xf>
    <xf numFmtId="0" fontId="3" fillId="0" borderId="13" xfId="3" applyFont="1" applyFill="1" applyBorder="1" applyAlignment="1" applyProtection="1">
      <alignment horizontal="center"/>
    </xf>
    <xf numFmtId="0" fontId="7" fillId="4" borderId="0" xfId="3" applyFont="1" applyFill="1" applyAlignment="1" applyProtection="1">
      <alignment horizontal="center"/>
    </xf>
    <xf numFmtId="0" fontId="10" fillId="4" borderId="0" xfId="3" applyFont="1" applyFill="1" applyAlignment="1" applyProtection="1">
      <alignment horizontal="center"/>
    </xf>
    <xf numFmtId="0" fontId="3" fillId="2" borderId="5" xfId="3" applyFont="1" applyFill="1" applyBorder="1" applyAlignment="1" applyProtection="1">
      <alignment horizontal="center"/>
    </xf>
    <xf numFmtId="0" fontId="3" fillId="2" borderId="6" xfId="3" applyFont="1" applyFill="1" applyBorder="1" applyAlignment="1" applyProtection="1">
      <alignment horizontal="center" vertical="center"/>
    </xf>
    <xf numFmtId="0" fontId="3" fillId="2" borderId="8" xfId="3" applyFont="1" applyFill="1" applyBorder="1" applyAlignment="1" applyProtection="1">
      <alignment horizontal="center" vertical="center"/>
    </xf>
    <xf numFmtId="0" fontId="3" fillId="2" borderId="9" xfId="3" applyFont="1" applyFill="1" applyBorder="1" applyAlignment="1" applyProtection="1">
      <alignment horizontal="center" vertical="center"/>
    </xf>
    <xf numFmtId="0" fontId="3" fillId="2" borderId="7" xfId="3" applyFont="1" applyFill="1" applyBorder="1" applyAlignment="1" applyProtection="1">
      <alignment horizontal="center" vertical="center"/>
    </xf>
    <xf numFmtId="0" fontId="3" fillId="2" borderId="11" xfId="3" applyFont="1" applyFill="1" applyBorder="1" applyAlignment="1" applyProtection="1">
      <alignment horizontal="center" vertical="center"/>
    </xf>
    <xf numFmtId="0" fontId="3" fillId="2" borderId="14" xfId="3" applyFont="1" applyFill="1" applyBorder="1" applyAlignment="1" applyProtection="1">
      <alignment horizontal="center" vertical="center"/>
    </xf>
    <xf numFmtId="0" fontId="3" fillId="2" borderId="5" xfId="3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7" fillId="0" borderId="16" xfId="0" applyFont="1" applyFill="1" applyBorder="1" applyAlignment="1" applyProtection="1">
      <alignment horizontal="right"/>
    </xf>
    <xf numFmtId="0" fontId="7" fillId="0" borderId="17" xfId="0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right"/>
    </xf>
    <xf numFmtId="0" fontId="5" fillId="0" borderId="6" xfId="0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0" xfId="0" applyFont="1" applyFill="1" applyBorder="1" applyAlignment="1" applyProtection="1"/>
    <xf numFmtId="0" fontId="5" fillId="0" borderId="7" xfId="0" applyFont="1" applyFill="1" applyBorder="1" applyAlignment="1" applyProtection="1">
      <alignment horizontal="left"/>
    </xf>
    <xf numFmtId="0" fontId="5" fillId="0" borderId="14" xfId="0" applyFont="1" applyFill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left"/>
    </xf>
    <xf numFmtId="0" fontId="5" fillId="0" borderId="18" xfId="0" applyFont="1" applyFill="1" applyBorder="1" applyAlignment="1" applyProtection="1">
      <alignment horizontal="left"/>
    </xf>
    <xf numFmtId="0" fontId="7" fillId="4" borderId="0" xfId="0" applyFont="1" applyFill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wrapText="1"/>
    </xf>
    <xf numFmtId="0" fontId="33" fillId="0" borderId="7" xfId="0" applyFont="1" applyFill="1" applyBorder="1" applyAlignment="1" applyProtection="1">
      <alignment horizontal="center"/>
    </xf>
    <xf numFmtId="0" fontId="33" fillId="0" borderId="11" xfId="0" applyFont="1" applyFill="1" applyBorder="1" applyAlignment="1" applyProtection="1">
      <alignment horizontal="center"/>
    </xf>
    <xf numFmtId="0" fontId="33" fillId="0" borderId="14" xfId="0" applyFont="1" applyFill="1" applyBorder="1" applyAlignment="1" applyProtection="1">
      <alignment horizontal="center"/>
    </xf>
    <xf numFmtId="0" fontId="33" fillId="0" borderId="5" xfId="0" applyFont="1" applyFill="1" applyBorder="1" applyAlignment="1" applyProtection="1">
      <alignment horizontal="center" vertical="center"/>
    </xf>
    <xf numFmtId="0" fontId="33" fillId="0" borderId="5" xfId="0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center"/>
    </xf>
    <xf numFmtId="0" fontId="30" fillId="0" borderId="0" xfId="0" applyFont="1" applyFill="1" applyAlignment="1" applyProtection="1">
      <alignment horizontal="center"/>
    </xf>
    <xf numFmtId="0" fontId="32" fillId="0" borderId="5" xfId="0" applyFont="1" applyFill="1" applyBorder="1" applyAlignment="1" applyProtection="1">
      <alignment horizontal="center"/>
    </xf>
    <xf numFmtId="0" fontId="32" fillId="0" borderId="6" xfId="0" applyFont="1" applyFill="1" applyBorder="1" applyAlignment="1" applyProtection="1">
      <alignment horizontal="center" vertical="center"/>
    </xf>
    <xf numFmtId="0" fontId="32" fillId="0" borderId="8" xfId="0" applyFont="1" applyFill="1" applyBorder="1" applyAlignment="1" applyProtection="1">
      <alignment horizontal="center" vertical="center"/>
    </xf>
    <xf numFmtId="0" fontId="32" fillId="0" borderId="9" xfId="0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/>
    </xf>
    <xf numFmtId="0" fontId="32" fillId="0" borderId="10" xfId="0" applyFont="1" applyFill="1" applyBorder="1" applyAlignment="1" applyProtection="1">
      <alignment horizontal="center" vertical="center"/>
    </xf>
    <xf numFmtId="0" fontId="32" fillId="0" borderId="5" xfId="0" applyFont="1" applyFill="1" applyBorder="1" applyAlignment="1" applyProtection="1">
      <alignment horizontal="center" wrapText="1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2" fillId="0" borderId="13" xfId="0" applyFont="1" applyFill="1" applyBorder="1" applyAlignment="1" applyProtection="1">
      <alignment horizontal="center"/>
    </xf>
    <xf numFmtId="0" fontId="33" fillId="0" borderId="6" xfId="0" applyFont="1" applyFill="1" applyBorder="1" applyAlignment="1" applyProtection="1">
      <alignment horizontal="left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4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4" xfId="0" applyFont="1" applyFill="1" applyBorder="1" applyAlignment="1" applyProtection="1">
      <alignment horizontal="center"/>
    </xf>
    <xf numFmtId="3" fontId="31" fillId="0" borderId="0" xfId="0" applyNumberFormat="1" applyFont="1" applyFill="1" applyAlignment="1" applyProtection="1">
      <alignment horizontal="left"/>
    </xf>
    <xf numFmtId="0" fontId="33" fillId="0" borderId="7" xfId="0" applyFont="1" applyFill="1" applyBorder="1" applyAlignment="1" applyProtection="1">
      <alignment horizontal="left"/>
    </xf>
    <xf numFmtId="0" fontId="33" fillId="0" borderId="14" xfId="0" applyFont="1" applyFill="1" applyBorder="1" applyAlignment="1" applyProtection="1">
      <alignment horizontal="left"/>
    </xf>
    <xf numFmtId="0" fontId="32" fillId="0" borderId="7" xfId="0" applyFont="1" applyFill="1" applyBorder="1" applyAlignment="1" applyProtection="1">
      <alignment horizontal="center" vertical="center"/>
    </xf>
    <xf numFmtId="0" fontId="32" fillId="0" borderId="11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horizontal="center" vertical="center"/>
    </xf>
    <xf numFmtId="3" fontId="31" fillId="0" borderId="5" xfId="0" applyNumberFormat="1" applyFont="1" applyFill="1" applyBorder="1" applyAlignment="1" applyProtection="1">
      <alignment horizontal="center"/>
    </xf>
    <xf numFmtId="3" fontId="31" fillId="0" borderId="16" xfId="0" applyNumberFormat="1" applyFont="1" applyFill="1" applyBorder="1" applyAlignment="1" applyProtection="1">
      <alignment horizontal="center"/>
    </xf>
    <xf numFmtId="3" fontId="31" fillId="0" borderId="18" xfId="0" applyNumberFormat="1" applyFont="1" applyFill="1" applyBorder="1" applyAlignment="1" applyProtection="1">
      <alignment horizontal="center"/>
    </xf>
    <xf numFmtId="4" fontId="31" fillId="0" borderId="7" xfId="0" applyNumberFormat="1" applyFont="1" applyFill="1" applyBorder="1" applyAlignment="1" applyProtection="1">
      <alignment horizontal="center"/>
    </xf>
    <xf numFmtId="4" fontId="31" fillId="0" borderId="14" xfId="0" applyNumberFormat="1" applyFont="1" applyFill="1" applyBorder="1" applyAlignment="1" applyProtection="1">
      <alignment horizontal="center"/>
    </xf>
    <xf numFmtId="4" fontId="31" fillId="0" borderId="6" xfId="0" applyNumberFormat="1" applyFont="1" applyFill="1" applyBorder="1" applyAlignment="1" applyProtection="1">
      <alignment horizontal="center"/>
    </xf>
    <xf numFmtId="4" fontId="31" fillId="0" borderId="9" xfId="0" applyNumberFormat="1" applyFont="1" applyFill="1" applyBorder="1" applyAlignment="1" applyProtection="1">
      <alignment horizontal="center"/>
    </xf>
    <xf numFmtId="4" fontId="31" fillId="0" borderId="2" xfId="0" applyNumberFormat="1" applyFont="1" applyFill="1" applyBorder="1" applyAlignment="1" applyProtection="1">
      <alignment horizontal="center"/>
    </xf>
    <xf numFmtId="4" fontId="31" fillId="0" borderId="10" xfId="0" applyNumberFormat="1" applyFont="1" applyFill="1" applyBorder="1" applyAlignment="1" applyProtection="1">
      <alignment horizontal="center"/>
    </xf>
    <xf numFmtId="4" fontId="31" fillId="0" borderId="5" xfId="0" applyNumberFormat="1" applyFont="1" applyFill="1" applyBorder="1" applyAlignment="1" applyProtection="1">
      <alignment horizontal="center"/>
    </xf>
    <xf numFmtId="4" fontId="44" fillId="0" borderId="5" xfId="0" applyNumberFormat="1" applyFont="1" applyFill="1" applyBorder="1" applyAlignment="1" applyProtection="1">
      <alignment horizontal="center"/>
    </xf>
    <xf numFmtId="4" fontId="47" fillId="0" borderId="5" xfId="0" applyNumberFormat="1" applyFont="1" applyBorder="1" applyAlignment="1">
      <alignment horizontal="center"/>
    </xf>
    <xf numFmtId="0" fontId="32" fillId="0" borderId="19" xfId="0" applyFont="1" applyFill="1" applyBorder="1" applyAlignment="1" applyProtection="1">
      <alignment horizontal="center"/>
    </xf>
    <xf numFmtId="0" fontId="32" fillId="0" borderId="20" xfId="0" applyFont="1" applyFill="1" applyBorder="1" applyAlignment="1" applyProtection="1">
      <alignment horizontal="center"/>
    </xf>
    <xf numFmtId="0" fontId="33" fillId="0" borderId="6" xfId="0" applyFont="1" applyFill="1" applyBorder="1" applyAlignment="1" applyProtection="1">
      <alignment horizontal="center" vertical="center"/>
    </xf>
    <xf numFmtId="0" fontId="33" fillId="0" borderId="9" xfId="0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/>
    </xf>
    <xf numFmtId="0" fontId="33" fillId="0" borderId="18" xfId="0" applyFont="1" applyFill="1" applyBorder="1" applyAlignment="1" applyProtection="1">
      <alignment horizontal="center"/>
    </xf>
    <xf numFmtId="4" fontId="44" fillId="0" borderId="2" xfId="0" applyNumberFormat="1" applyFont="1" applyFill="1" applyBorder="1" applyAlignment="1" applyProtection="1">
      <alignment horizontal="center"/>
    </xf>
    <xf numFmtId="4" fontId="44" fillId="0" borderId="0" xfId="0" applyNumberFormat="1" applyFont="1" applyFill="1" applyBorder="1" applyAlignment="1" applyProtection="1">
      <alignment horizontal="center"/>
    </xf>
    <xf numFmtId="4" fontId="31" fillId="0" borderId="0" xfId="0" applyNumberFormat="1" applyFont="1" applyFill="1" applyBorder="1" applyAlignment="1" applyProtection="1">
      <alignment horizontal="center"/>
    </xf>
    <xf numFmtId="200" fontId="33" fillId="0" borderId="3" xfId="2" quotePrefix="1" applyNumberFormat="1" applyFont="1" applyFill="1" applyBorder="1" applyAlignment="1" applyProtection="1">
      <alignment horizontal="center"/>
    </xf>
  </cellXfs>
  <cellStyles count="5">
    <cellStyle name="Hyperlink" xfId="1" builtinId="8"/>
    <cellStyle name="เครื่องหมายจุลภาค" xfId="2" builtinId="3"/>
    <cellStyle name="เปอร์เซ็นต์" xfId="4" builtinId="5"/>
    <cellStyle name="ปกติ" xfId="0" builtinId="0"/>
    <cellStyle name="ปกติ 2" xfId="3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43</xdr:row>
      <xdr:rowOff>257175</xdr:rowOff>
    </xdr:from>
    <xdr:to>
      <xdr:col>23</xdr:col>
      <xdr:colOff>428625</xdr:colOff>
      <xdr:row>44</xdr:row>
      <xdr:rowOff>219075</xdr:rowOff>
    </xdr:to>
    <xdr:sp macro="" textlink="">
      <xdr:nvSpPr>
        <xdr:cNvPr id="4" name="ลูกศรขวา 3"/>
        <xdr:cNvSpPr/>
      </xdr:nvSpPr>
      <xdr:spPr>
        <a:xfrm>
          <a:off x="12563475" y="13363575"/>
          <a:ext cx="821055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323850</xdr:colOff>
      <xdr:row>34</xdr:row>
      <xdr:rowOff>9525</xdr:rowOff>
    </xdr:from>
    <xdr:to>
      <xdr:col>14</xdr:col>
      <xdr:colOff>209550</xdr:colOff>
      <xdr:row>34</xdr:row>
      <xdr:rowOff>276225</xdr:rowOff>
    </xdr:to>
    <xdr:sp macro="" textlink="">
      <xdr:nvSpPr>
        <xdr:cNvPr id="5" name="ลูกศรขวา 4"/>
        <xdr:cNvSpPr/>
      </xdr:nvSpPr>
      <xdr:spPr>
        <a:xfrm>
          <a:off x="12773025" y="10372725"/>
          <a:ext cx="4953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57150</xdr:colOff>
      <xdr:row>48</xdr:row>
      <xdr:rowOff>266700</xdr:rowOff>
    </xdr:from>
    <xdr:to>
      <xdr:col>13</xdr:col>
      <xdr:colOff>552450</xdr:colOff>
      <xdr:row>49</xdr:row>
      <xdr:rowOff>228600</xdr:rowOff>
    </xdr:to>
    <xdr:sp macro="" textlink="">
      <xdr:nvSpPr>
        <xdr:cNvPr id="6" name="ลูกศรขวา 5"/>
        <xdr:cNvSpPr/>
      </xdr:nvSpPr>
      <xdr:spPr>
        <a:xfrm>
          <a:off x="12506325" y="14897100"/>
          <a:ext cx="4953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409575</xdr:colOff>
      <xdr:row>52</xdr:row>
      <xdr:rowOff>19050</xdr:rowOff>
    </xdr:from>
    <xdr:to>
      <xdr:col>14</xdr:col>
      <xdr:colOff>295275</xdr:colOff>
      <xdr:row>52</xdr:row>
      <xdr:rowOff>285750</xdr:rowOff>
    </xdr:to>
    <xdr:sp macro="" textlink="">
      <xdr:nvSpPr>
        <xdr:cNvPr id="7" name="ลูกศรขวา 6"/>
        <xdr:cNvSpPr/>
      </xdr:nvSpPr>
      <xdr:spPr>
        <a:xfrm>
          <a:off x="12858750" y="16173450"/>
          <a:ext cx="4953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304800</xdr:colOff>
      <xdr:row>26</xdr:row>
      <xdr:rowOff>238125</xdr:rowOff>
    </xdr:from>
    <xdr:to>
      <xdr:col>15</xdr:col>
      <xdr:colOff>514350</xdr:colOff>
      <xdr:row>27</xdr:row>
      <xdr:rowOff>200025</xdr:rowOff>
    </xdr:to>
    <xdr:sp macro="" textlink="">
      <xdr:nvSpPr>
        <xdr:cNvPr id="8" name="ลูกศรขวา 7"/>
        <xdr:cNvSpPr/>
      </xdr:nvSpPr>
      <xdr:spPr>
        <a:xfrm>
          <a:off x="12753975" y="8162925"/>
          <a:ext cx="142875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28</xdr:row>
      <xdr:rowOff>38100</xdr:rowOff>
    </xdr:from>
    <xdr:to>
      <xdr:col>15</xdr:col>
      <xdr:colOff>485775</xdr:colOff>
      <xdr:row>28</xdr:row>
      <xdr:rowOff>209550</xdr:rowOff>
    </xdr:to>
    <xdr:sp macro="" textlink="">
      <xdr:nvSpPr>
        <xdr:cNvPr id="2" name="ลูกศรขวา 1"/>
        <xdr:cNvSpPr/>
      </xdr:nvSpPr>
      <xdr:spPr>
        <a:xfrm>
          <a:off x="12563475" y="8572500"/>
          <a:ext cx="1590675" cy="171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133350</xdr:colOff>
      <xdr:row>21</xdr:row>
      <xdr:rowOff>66675</xdr:rowOff>
    </xdr:from>
    <xdr:to>
      <xdr:col>15</xdr:col>
      <xdr:colOff>504825</xdr:colOff>
      <xdr:row>21</xdr:row>
      <xdr:rowOff>238125</xdr:rowOff>
    </xdr:to>
    <xdr:sp macro="" textlink="">
      <xdr:nvSpPr>
        <xdr:cNvPr id="3" name="ลูกศรขวา 2"/>
        <xdr:cNvSpPr/>
      </xdr:nvSpPr>
      <xdr:spPr>
        <a:xfrm>
          <a:off x="12582525" y="6467475"/>
          <a:ext cx="1590675" cy="171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20</xdr:row>
      <xdr:rowOff>266700</xdr:rowOff>
    </xdr:from>
    <xdr:to>
      <xdr:col>13</xdr:col>
      <xdr:colOff>552450</xdr:colOff>
      <xdr:row>21</xdr:row>
      <xdr:rowOff>228600</xdr:rowOff>
    </xdr:to>
    <xdr:sp macro="" textlink="">
      <xdr:nvSpPr>
        <xdr:cNvPr id="2" name="ลูกศรขวา 1"/>
        <xdr:cNvSpPr/>
      </xdr:nvSpPr>
      <xdr:spPr>
        <a:xfrm>
          <a:off x="12506325" y="6362700"/>
          <a:ext cx="4953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21</xdr:row>
      <xdr:rowOff>57150</xdr:rowOff>
    </xdr:from>
    <xdr:to>
      <xdr:col>14</xdr:col>
      <xdr:colOff>238125</xdr:colOff>
      <xdr:row>21</xdr:row>
      <xdr:rowOff>219075</xdr:rowOff>
    </xdr:to>
    <xdr:sp macro="" textlink="">
      <xdr:nvSpPr>
        <xdr:cNvPr id="2" name="ลูกศรขวา 1"/>
        <xdr:cNvSpPr/>
      </xdr:nvSpPr>
      <xdr:spPr>
        <a:xfrm>
          <a:off x="12544425" y="6419850"/>
          <a:ext cx="752475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57150</xdr:colOff>
      <xdr:row>11</xdr:row>
      <xdr:rowOff>219075</xdr:rowOff>
    </xdr:from>
    <xdr:to>
      <xdr:col>14</xdr:col>
      <xdr:colOff>200025</xdr:colOff>
      <xdr:row>12</xdr:row>
      <xdr:rowOff>76200</xdr:rowOff>
    </xdr:to>
    <xdr:sp macro="" textlink="">
      <xdr:nvSpPr>
        <xdr:cNvPr id="3" name="ลูกศรขวา 2"/>
        <xdr:cNvSpPr/>
      </xdr:nvSpPr>
      <xdr:spPr>
        <a:xfrm>
          <a:off x="12506325" y="3571875"/>
          <a:ext cx="752475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95250</xdr:colOff>
      <xdr:row>27</xdr:row>
      <xdr:rowOff>276225</xdr:rowOff>
    </xdr:from>
    <xdr:to>
      <xdr:col>14</xdr:col>
      <xdr:colOff>238125</xdr:colOff>
      <xdr:row>28</xdr:row>
      <xdr:rowOff>114300</xdr:rowOff>
    </xdr:to>
    <xdr:sp macro="" textlink="">
      <xdr:nvSpPr>
        <xdr:cNvPr id="4" name="ลูกศรขวา 3"/>
        <xdr:cNvSpPr/>
      </xdr:nvSpPr>
      <xdr:spPr>
        <a:xfrm>
          <a:off x="12544425" y="8439150"/>
          <a:ext cx="752475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57150</xdr:colOff>
      <xdr:row>47</xdr:row>
      <xdr:rowOff>95250</xdr:rowOff>
    </xdr:from>
    <xdr:to>
      <xdr:col>14</xdr:col>
      <xdr:colOff>200025</xdr:colOff>
      <xdr:row>47</xdr:row>
      <xdr:rowOff>228600</xdr:rowOff>
    </xdr:to>
    <xdr:sp macro="" textlink="">
      <xdr:nvSpPr>
        <xdr:cNvPr id="5" name="ลูกศรขวา 4"/>
        <xdr:cNvSpPr/>
      </xdr:nvSpPr>
      <xdr:spPr>
        <a:xfrm>
          <a:off x="12506325" y="14220825"/>
          <a:ext cx="7524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20</xdr:row>
      <xdr:rowOff>266700</xdr:rowOff>
    </xdr:from>
    <xdr:to>
      <xdr:col>13</xdr:col>
      <xdr:colOff>552450</xdr:colOff>
      <xdr:row>21</xdr:row>
      <xdr:rowOff>228600</xdr:rowOff>
    </xdr:to>
    <xdr:sp macro="" textlink="">
      <xdr:nvSpPr>
        <xdr:cNvPr id="2" name="ลูกศรขวา 1"/>
        <xdr:cNvSpPr/>
      </xdr:nvSpPr>
      <xdr:spPr>
        <a:xfrm>
          <a:off x="12506325" y="6334125"/>
          <a:ext cx="495300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85724</xdr:colOff>
      <xdr:row>13</xdr:row>
      <xdr:rowOff>180975</xdr:rowOff>
    </xdr:from>
    <xdr:to>
      <xdr:col>14</xdr:col>
      <xdr:colOff>228599</xdr:colOff>
      <xdr:row>14</xdr:row>
      <xdr:rowOff>133350</xdr:rowOff>
    </xdr:to>
    <xdr:sp macro="" textlink="">
      <xdr:nvSpPr>
        <xdr:cNvPr id="3" name="ลูกศรขวา 2"/>
        <xdr:cNvSpPr/>
      </xdr:nvSpPr>
      <xdr:spPr>
        <a:xfrm>
          <a:off x="12534899" y="4143375"/>
          <a:ext cx="752475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25</xdr:row>
      <xdr:rowOff>57150</xdr:rowOff>
    </xdr:from>
    <xdr:to>
      <xdr:col>14</xdr:col>
      <xdr:colOff>542924</xdr:colOff>
      <xdr:row>26</xdr:row>
      <xdr:rowOff>19050</xdr:rowOff>
    </xdr:to>
    <xdr:sp macro="" textlink="">
      <xdr:nvSpPr>
        <xdr:cNvPr id="2" name="ลูกศรขวา 1"/>
        <xdr:cNvSpPr/>
      </xdr:nvSpPr>
      <xdr:spPr>
        <a:xfrm>
          <a:off x="12734924" y="7629525"/>
          <a:ext cx="866775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27</xdr:row>
      <xdr:rowOff>66675</xdr:rowOff>
    </xdr:from>
    <xdr:to>
      <xdr:col>14</xdr:col>
      <xdr:colOff>561975</xdr:colOff>
      <xdr:row>28</xdr:row>
      <xdr:rowOff>28575</xdr:rowOff>
    </xdr:to>
    <xdr:sp macro="" textlink="">
      <xdr:nvSpPr>
        <xdr:cNvPr id="2" name="ลูกศรขวา 1"/>
        <xdr:cNvSpPr/>
      </xdr:nvSpPr>
      <xdr:spPr>
        <a:xfrm>
          <a:off x="13125450" y="8201025"/>
          <a:ext cx="495300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33</xdr:row>
      <xdr:rowOff>266700</xdr:rowOff>
    </xdr:from>
    <xdr:to>
      <xdr:col>13</xdr:col>
      <xdr:colOff>552450</xdr:colOff>
      <xdr:row>34</xdr:row>
      <xdr:rowOff>228600</xdr:rowOff>
    </xdr:to>
    <xdr:sp macro="" textlink="">
      <xdr:nvSpPr>
        <xdr:cNvPr id="2" name="ลูกศรขวา 1"/>
        <xdr:cNvSpPr/>
      </xdr:nvSpPr>
      <xdr:spPr>
        <a:xfrm>
          <a:off x="12506325" y="10115550"/>
          <a:ext cx="495300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27</xdr:row>
      <xdr:rowOff>28575</xdr:rowOff>
    </xdr:from>
    <xdr:to>
      <xdr:col>13</xdr:col>
      <xdr:colOff>571500</xdr:colOff>
      <xdr:row>27</xdr:row>
      <xdr:rowOff>285750</xdr:rowOff>
    </xdr:to>
    <xdr:sp macro="" textlink="">
      <xdr:nvSpPr>
        <xdr:cNvPr id="2" name="ลูกศรขวา 1"/>
        <xdr:cNvSpPr/>
      </xdr:nvSpPr>
      <xdr:spPr>
        <a:xfrm>
          <a:off x="12525375" y="8105775"/>
          <a:ext cx="495300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project.rid.go.th/site/images/doc/agree/59/3Report/LSPROOM/&#3588;&#3635;&#3619;&#3633;&#3610;&#3619;&#3629;&#3591;2556/&#3619;&#3634;&#3618;&#3591;&#3634;&#3609;&#3588;&#3635;&#3619;&#3633;&#3610;&#3619;&#3629;&#3591;&#3611;&#3619;&#3632;&#3592;&#3635;&#3648;&#3604;&#3639;&#3629;&#3609;/&#3588;&#3635;&#3609;&#3623;&#3603;&#3588;&#3632;&#3649;&#3609;&#3609;&#3619;&#3634;&#3618;&#3648;&#3604;&#3639;&#3629;&#36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project.rid.go.th/site/images/doc/agree/59/3Report/&#3588;&#3635;&#3619;&#3633;&#3610;&#3619;&#3629;&#3591;2556/&#3619;&#3634;&#3618;&#3591;&#3634;&#3609;&#3588;&#3635;&#3619;&#3633;&#3610;&#3619;&#3629;&#3591;&#3611;&#3619;&#3632;&#3592;&#3635;&#3648;&#3604;&#3639;&#3629;&#3609;/&#3588;&#3635;&#3609;&#3623;&#3603;&#3588;&#3632;&#3649;&#3609;&#3609;&#3619;&#3634;&#3618;&#3648;&#3604;&#3639;&#3629;&#360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project.rid.go.th/site/images/doc/agree/59/3Report/LSPROOM/&#3588;&#3635;&#3619;&#3633;&#3610;&#3619;&#3629;&#3591;2556/&#3619;&#3634;&#3618;&#3591;&#3634;&#3609;&#3588;&#3635;&#3619;&#3633;&#3610;&#3619;&#3629;&#3591;&#3611;&#3619;&#3632;&#3592;&#3635;&#3648;&#3604;&#3639;&#3629;&#3609;/&#3619;&#3629;&#3610;%2011%20&#3648;&#3604;&#3639;&#3629;&#3609;%20(&#3605;&#3588;55%20-%20&#3626;&#3588;56)/&#3585;&#3626;8/________________%20_________%205-7-5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project.rid.go.th/site/images/doc/agree/59/3Report/LSPROOM/&#3588;&#3635;&#3619;&#3633;&#3610;&#3619;&#3629;&#3591;2556/&#3619;&#3634;&#3618;&#3591;&#3634;&#3609;&#3588;&#3635;&#3619;&#3633;&#3610;&#3619;&#3629;&#3591;&#3611;&#3619;&#3632;&#3592;&#3635;&#3648;&#3604;&#3639;&#3629;&#3609;/&#3619;&#3629;&#3610;%2011%20&#3648;&#3604;&#3639;&#3629;&#3609;%20(&#3605;&#3588;55%20-%20&#3626;&#3588;56)/&#3585;&#3626;14/wc%20monthly%20report56%2008075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project.rid.go.th/site/images/doc/agree/59/3Report/LSPROOM/&#3588;&#3635;&#3619;&#3633;&#3610;&#3619;&#3629;&#3591;2556/&#3619;&#3634;&#3618;&#3591;&#3634;&#3609;&#3588;&#3635;&#3619;&#3633;&#3610;&#3619;&#3629;&#3591;&#3611;&#3619;&#3632;&#3592;&#3635;&#3648;&#3604;&#3639;&#3629;&#3609;/&#3619;&#3629;&#3610;%2011%20&#3648;&#3604;&#3639;&#3629;&#3609;%20(&#3605;&#3588;55%20-%20&#3626;&#3588;56)/&#3612;&#3629;&#3611;.&#3588;&#3597;/&#3588;&#3635;&#3619;&#3633;&#3610;&#3619;&#3629;&#3591;%2010%20&#3648;&#3604;&#3639;&#3629;&#3609;%20&#3612;&#3629;&#3611;.&#3588;&#3597;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project.rid.go.th/site/images/doc/agree/59/3Report/LSPROOM/&#3588;&#3635;&#3619;&#3633;&#3610;&#3619;&#3629;&#3591;2556/&#3619;&#3634;&#3618;&#3591;&#3634;&#3609;&#3588;&#3635;&#3619;&#3633;&#3610;&#3619;&#3629;&#3591;&#3611;&#3619;&#3632;&#3592;&#3635;&#3648;&#3604;&#3639;&#3629;&#3609;/&#3619;&#3629;&#3610;%2011%20&#3648;&#3604;&#3639;&#3629;&#3609;%20(&#3605;&#3588;55%20-%20&#3626;&#3588;56)/&#3612;&#3629;&#3611;.&#3588;&#3597;/&#3588;&#3635;&#3619;&#3633;&#3610;&#3619;&#3629;&#3591;%2011%20&#3648;&#3604;&#3639;&#3629;&#3609;%20&#3612;&#3629;&#3611;.&#3588;&#3597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 เดือน"/>
      <sheetName val="7 เดือน"/>
      <sheetName val="8 เดือน"/>
      <sheetName val="9 เดือน"/>
      <sheetName val="10 เดือน"/>
      <sheetName val="11 เดือน"/>
      <sheetName val="12 เดือน"/>
      <sheetName val="Sheet4"/>
    </sheetNames>
    <sheetDataSet>
      <sheetData sheetId="0" refreshError="1">
        <row r="6">
          <cell r="L6">
            <v>1.95</v>
          </cell>
        </row>
        <row r="7">
          <cell r="J7">
            <v>69.561999999999998</v>
          </cell>
        </row>
        <row r="9">
          <cell r="L9">
            <v>1</v>
          </cell>
        </row>
        <row r="17">
          <cell r="L17">
            <v>1</v>
          </cell>
        </row>
        <row r="24">
          <cell r="L24">
            <v>1</v>
          </cell>
        </row>
        <row r="27">
          <cell r="J27">
            <v>23.72</v>
          </cell>
        </row>
        <row r="29">
          <cell r="L29">
            <v>1</v>
          </cell>
        </row>
        <row r="33">
          <cell r="J33">
            <v>25.19</v>
          </cell>
        </row>
        <row r="41">
          <cell r="L41">
            <v>1</v>
          </cell>
        </row>
        <row r="49">
          <cell r="L49">
            <v>1</v>
          </cell>
        </row>
        <row r="56">
          <cell r="J56">
            <v>3061.06</v>
          </cell>
        </row>
        <row r="57">
          <cell r="J57">
            <v>1170.95</v>
          </cell>
        </row>
        <row r="58">
          <cell r="J58">
            <v>38.25308879930482</v>
          </cell>
        </row>
        <row r="60">
          <cell r="L60">
            <v>1</v>
          </cell>
        </row>
        <row r="68">
          <cell r="L68">
            <v>1</v>
          </cell>
        </row>
        <row r="73">
          <cell r="L73">
            <v>1</v>
          </cell>
        </row>
        <row r="79">
          <cell r="L79">
            <v>4.3716577540106956</v>
          </cell>
        </row>
      </sheetData>
      <sheetData sheetId="1" refreshError="1">
        <row r="6">
          <cell r="L6">
            <v>2.3549999999999995</v>
          </cell>
        </row>
        <row r="7">
          <cell r="J7">
            <v>73.55</v>
          </cell>
        </row>
        <row r="79">
          <cell r="L79">
            <v>4.4117647058823541</v>
          </cell>
        </row>
        <row r="86">
          <cell r="L86">
            <v>3.5555555555555554</v>
          </cell>
        </row>
      </sheetData>
      <sheetData sheetId="2" refreshError="1"/>
      <sheetData sheetId="3" refreshError="1">
        <row r="79">
          <cell r="L79">
            <v>4.4518716577540109</v>
          </cell>
        </row>
        <row r="86">
          <cell r="L86">
            <v>4.1000000000000005</v>
          </cell>
        </row>
        <row r="91">
          <cell r="J91">
            <v>95.5</v>
          </cell>
        </row>
      </sheetData>
      <sheetData sheetId="4" refreshError="1">
        <row r="6">
          <cell r="L6">
            <v>2.7450000000000001</v>
          </cell>
        </row>
        <row r="7">
          <cell r="J7">
            <v>77.45</v>
          </cell>
        </row>
        <row r="9">
          <cell r="L9">
            <v>1.7437379576107901</v>
          </cell>
        </row>
        <row r="11">
          <cell r="K11">
            <v>14000</v>
          </cell>
        </row>
        <row r="46">
          <cell r="J46">
            <v>24</v>
          </cell>
        </row>
        <row r="86">
          <cell r="L86">
            <v>4.1454545454545446</v>
          </cell>
        </row>
        <row r="91">
          <cell r="J91">
            <v>95.727272727272734</v>
          </cell>
        </row>
      </sheetData>
      <sheetData sheetId="5" refreshError="1">
        <row r="6">
          <cell r="L6">
            <v>2.9230000000000005</v>
          </cell>
        </row>
        <row r="7">
          <cell r="J7">
            <v>79.23</v>
          </cell>
        </row>
        <row r="9">
          <cell r="L9">
            <v>4.1522157996146438</v>
          </cell>
        </row>
        <row r="11">
          <cell r="K11">
            <v>19000</v>
          </cell>
        </row>
        <row r="45">
          <cell r="J45">
            <v>50</v>
          </cell>
        </row>
        <row r="46">
          <cell r="J46">
            <v>31</v>
          </cell>
        </row>
        <row r="79">
          <cell r="L79">
            <v>4.5053475935828882</v>
          </cell>
        </row>
        <row r="86">
          <cell r="L86">
            <v>4.3</v>
          </cell>
        </row>
        <row r="91">
          <cell r="J91">
            <v>96.5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6 เดือน"/>
      <sheetName val="7 เดือน"/>
      <sheetName val="8 เดือน"/>
      <sheetName val="Sheet4"/>
    </sheetNames>
    <sheetDataSet>
      <sheetData sheetId="0"/>
      <sheetData sheetId="1"/>
      <sheetData sheetId="2">
        <row r="79">
          <cell r="L79">
            <v>4.4251336898395728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สพญ."/>
      <sheetName val="ผวศ.คญ."/>
      <sheetName val="ผอป.คญ."/>
      <sheetName val="ฝบ.คญ."/>
      <sheetName val="กส1"/>
      <sheetName val="กส2"/>
      <sheetName val="กส3"/>
      <sheetName val="กส4"/>
      <sheetName val="กส5"/>
      <sheetName val="กส6"/>
      <sheetName val="กส7"/>
      <sheetName val="กส8"/>
      <sheetName val="กส9"/>
      <sheetName val="กส10"/>
      <sheetName val="กส11"/>
      <sheetName val="กส12"/>
      <sheetName val="กส13"/>
      <sheetName val="กส14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">
          <cell r="L6">
            <v>2.6640000000000001</v>
          </cell>
        </row>
        <row r="7">
          <cell r="J7">
            <v>76.643000000000001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สพญ."/>
      <sheetName val="ผวศ.คญ."/>
      <sheetName val="ผอป.คญ."/>
      <sheetName val="ฝบ.คญ."/>
      <sheetName val="กส1"/>
      <sheetName val="กส2"/>
      <sheetName val="กส3"/>
      <sheetName val="กส4"/>
      <sheetName val="กส5"/>
      <sheetName val="กส6"/>
      <sheetName val="กส7"/>
      <sheetName val="กส8"/>
      <sheetName val="กส9"/>
      <sheetName val="กส10"/>
      <sheetName val="กส11"/>
      <sheetName val="กส12"/>
      <sheetName val="กส13"/>
      <sheetName val="กส14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1">
          <cell r="K11">
            <v>10000</v>
          </cell>
        </row>
      </sheetData>
      <sheetData sheetId="1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ผอป.คญ."/>
    </sheetNames>
    <sheetDataSet>
      <sheetData sheetId="0">
        <row r="27">
          <cell r="J27">
            <v>44.88</v>
          </cell>
        </row>
        <row r="33">
          <cell r="J33">
            <v>60.167000000000002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ผอป.คญ."/>
    </sheetNames>
    <sheetDataSet>
      <sheetData sheetId="0">
        <row r="27">
          <cell r="J27">
            <v>52.54</v>
          </cell>
        </row>
        <row r="33">
          <cell r="J33">
            <v>70.59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4"/>
  <sheetViews>
    <sheetView topLeftCell="A79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.7109375" style="119" customWidth="1"/>
    <col min="2" max="2" width="10.140625" style="119" bestFit="1" customWidth="1"/>
    <col min="3" max="3" width="10.140625" style="119" customWidth="1"/>
    <col min="4" max="4" width="10.28515625" style="119" customWidth="1"/>
    <col min="5" max="7" width="10.7109375" style="119" customWidth="1"/>
    <col min="8" max="9" width="9.85546875" style="119" customWidth="1"/>
    <col min="10" max="10" width="13.140625" style="119" customWidth="1"/>
    <col min="11" max="11" width="26.28515625" style="119" customWidth="1"/>
    <col min="12" max="12" width="8.7109375" style="119" customWidth="1"/>
    <col min="13" max="13" width="12.28515625" style="119" customWidth="1"/>
    <col min="14" max="16384" width="9.140625" style="119"/>
  </cols>
  <sheetData>
    <row r="1" spans="1:16" ht="27.75">
      <c r="A1" s="647" t="s">
        <v>0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</row>
    <row r="2" spans="1:16" ht="27.75">
      <c r="A2" s="647" t="s">
        <v>45</v>
      </c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</row>
    <row r="3" spans="1:16" ht="26.25" customHeight="1">
      <c r="A3" s="120" t="s">
        <v>131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 t="s">
        <v>37</v>
      </c>
    </row>
    <row r="4" spans="1:16" s="125" customFormat="1" ht="24.75" customHeight="1">
      <c r="A4" s="123" t="s">
        <v>1</v>
      </c>
      <c r="B4" s="123" t="s">
        <v>2</v>
      </c>
      <c r="C4" s="649" t="s">
        <v>3</v>
      </c>
      <c r="D4" s="649"/>
      <c r="E4" s="649"/>
      <c r="F4" s="649"/>
      <c r="G4" s="649"/>
      <c r="H4" s="650" t="s">
        <v>4</v>
      </c>
      <c r="I4" s="651"/>
      <c r="J4" s="651"/>
      <c r="K4" s="652"/>
      <c r="L4" s="656" t="s">
        <v>5</v>
      </c>
      <c r="M4" s="124" t="s">
        <v>6</v>
      </c>
    </row>
    <row r="5" spans="1:16" s="125" customFormat="1" ht="24.75" customHeight="1">
      <c r="A5" s="126" t="s">
        <v>7</v>
      </c>
      <c r="B5" s="126" t="s">
        <v>8</v>
      </c>
      <c r="C5" s="127">
        <v>1</v>
      </c>
      <c r="D5" s="127">
        <v>2</v>
      </c>
      <c r="E5" s="127">
        <v>3</v>
      </c>
      <c r="F5" s="127">
        <v>4</v>
      </c>
      <c r="G5" s="127">
        <v>5</v>
      </c>
      <c r="H5" s="653"/>
      <c r="I5" s="654"/>
      <c r="J5" s="654"/>
      <c r="K5" s="655"/>
      <c r="L5" s="656"/>
      <c r="M5" s="128" t="s">
        <v>9</v>
      </c>
    </row>
    <row r="6" spans="1:16" ht="23.25" customHeight="1">
      <c r="A6" s="129" t="s">
        <v>10</v>
      </c>
      <c r="B6" s="109">
        <v>10</v>
      </c>
      <c r="C6" s="130">
        <v>0.6</v>
      </c>
      <c r="D6" s="130">
        <v>0.7</v>
      </c>
      <c r="E6" s="130">
        <v>0.8</v>
      </c>
      <c r="F6" s="130">
        <v>0.9</v>
      </c>
      <c r="G6" s="130">
        <v>1</v>
      </c>
      <c r="H6" s="131" t="s">
        <v>128</v>
      </c>
      <c r="I6" s="132"/>
      <c r="J6" s="132"/>
      <c r="K6" s="133"/>
      <c r="L6" s="134">
        <f>'[1]6 เดือน'!$L$6</f>
        <v>1.95</v>
      </c>
      <c r="M6" s="135">
        <f>IF(L6=0,"-",ROUND(L6*B6/B$94,4))</f>
        <v>0.19500000000000001</v>
      </c>
    </row>
    <row r="7" spans="1:16" ht="23.25" customHeight="1">
      <c r="A7" s="136" t="s">
        <v>12</v>
      </c>
      <c r="B7" s="137"/>
      <c r="C7" s="138"/>
      <c r="D7" s="138"/>
      <c r="E7" s="138"/>
      <c r="F7" s="138"/>
      <c r="G7" s="138"/>
      <c r="H7" s="139" t="s">
        <v>40</v>
      </c>
      <c r="I7" s="140"/>
      <c r="J7" s="141">
        <f>'[1]6 เดือน'!$J$7</f>
        <v>69.561999999999998</v>
      </c>
      <c r="K7" s="142" t="s">
        <v>51</v>
      </c>
      <c r="L7" s="143"/>
      <c r="M7" s="143"/>
    </row>
    <row r="8" spans="1:16" ht="23.25" customHeight="1">
      <c r="A8" s="144"/>
      <c r="B8" s="145"/>
      <c r="C8" s="146"/>
      <c r="D8" s="146"/>
      <c r="E8" s="146"/>
      <c r="F8" s="146"/>
      <c r="G8" s="146"/>
      <c r="H8" s="147"/>
      <c r="I8" s="140"/>
      <c r="J8" s="140"/>
      <c r="K8" s="148"/>
      <c r="L8" s="143"/>
      <c r="M8" s="143"/>
    </row>
    <row r="9" spans="1:16" ht="23.25" customHeight="1">
      <c r="A9" s="129" t="s">
        <v>13</v>
      </c>
      <c r="B9" s="109">
        <v>10</v>
      </c>
      <c r="C9" s="149">
        <v>8304</v>
      </c>
      <c r="D9" s="150">
        <v>11418</v>
      </c>
      <c r="E9" s="150">
        <v>14532</v>
      </c>
      <c r="F9" s="150">
        <v>17646</v>
      </c>
      <c r="G9" s="150">
        <v>20760</v>
      </c>
      <c r="H9" s="639" t="s">
        <v>14</v>
      </c>
      <c r="I9" s="640"/>
      <c r="J9" s="641" t="s">
        <v>15</v>
      </c>
      <c r="K9" s="641"/>
      <c r="L9" s="134">
        <f>'[1]6 เดือน'!$L$9</f>
        <v>1</v>
      </c>
      <c r="M9" s="135">
        <f>IF(L9=0,"-",ROUND(L9*B9/B$94,4))</f>
        <v>0.1</v>
      </c>
      <c r="O9" s="151"/>
      <c r="P9" s="152"/>
    </row>
    <row r="10" spans="1:16" ht="23.25" customHeight="1">
      <c r="A10" s="144" t="s">
        <v>16</v>
      </c>
      <c r="B10" s="137"/>
      <c r="C10" s="153" t="s">
        <v>38</v>
      </c>
      <c r="D10" s="153" t="s">
        <v>38</v>
      </c>
      <c r="E10" s="153" t="s">
        <v>39</v>
      </c>
      <c r="F10" s="153" t="s">
        <v>38</v>
      </c>
      <c r="G10" s="153" t="s">
        <v>38</v>
      </c>
      <c r="H10" s="639"/>
      <c r="I10" s="640"/>
      <c r="J10" s="154" t="s">
        <v>17</v>
      </c>
      <c r="K10" s="154" t="s">
        <v>18</v>
      </c>
      <c r="L10" s="143"/>
      <c r="M10" s="143"/>
      <c r="O10" s="151"/>
      <c r="P10" s="155"/>
    </row>
    <row r="11" spans="1:16" ht="23.25" customHeight="1">
      <c r="A11" s="144"/>
      <c r="B11" s="137"/>
      <c r="C11" s="156"/>
      <c r="D11" s="156"/>
      <c r="E11" s="156"/>
      <c r="F11" s="156"/>
      <c r="G11" s="156"/>
      <c r="H11" s="642" t="s">
        <v>19</v>
      </c>
      <c r="I11" s="643"/>
      <c r="J11" s="73">
        <v>19000</v>
      </c>
      <c r="K11" s="64" t="s">
        <v>11</v>
      </c>
      <c r="L11" s="143"/>
      <c r="M11" s="143"/>
    </row>
    <row r="12" spans="1:16" ht="23.25" customHeight="1">
      <c r="A12" s="144"/>
      <c r="B12" s="145"/>
      <c r="C12" s="157"/>
      <c r="D12" s="158"/>
      <c r="E12" s="158"/>
      <c r="F12" s="158"/>
      <c r="G12" s="158"/>
      <c r="H12" s="131" t="s">
        <v>41</v>
      </c>
      <c r="I12" s="159"/>
      <c r="J12" s="74">
        <v>1760</v>
      </c>
      <c r="K12" s="65" t="s">
        <v>11</v>
      </c>
      <c r="L12" s="143"/>
      <c r="M12" s="143"/>
    </row>
    <row r="13" spans="1:16" ht="23.25" customHeight="1">
      <c r="A13" s="144"/>
      <c r="B13" s="145"/>
      <c r="C13" s="158"/>
      <c r="D13" s="158"/>
      <c r="E13" s="158"/>
      <c r="F13" s="158"/>
      <c r="G13" s="158"/>
      <c r="H13" s="622" t="s">
        <v>42</v>
      </c>
      <c r="I13" s="624"/>
      <c r="J13" s="86"/>
      <c r="K13" s="87"/>
      <c r="L13" s="143"/>
      <c r="M13" s="143"/>
    </row>
    <row r="14" spans="1:16" ht="23.25" customHeight="1">
      <c r="A14" s="144"/>
      <c r="B14" s="145"/>
      <c r="C14" s="158"/>
      <c r="D14" s="158"/>
      <c r="E14" s="158"/>
      <c r="F14" s="158"/>
      <c r="G14" s="158"/>
      <c r="H14" s="644" t="s">
        <v>43</v>
      </c>
      <c r="I14" s="645"/>
      <c r="J14" s="88"/>
      <c r="K14" s="89"/>
      <c r="L14" s="143"/>
      <c r="M14" s="143"/>
    </row>
    <row r="15" spans="1:16" ht="23.25" customHeight="1" thickBot="1">
      <c r="A15" s="144"/>
      <c r="B15" s="145"/>
      <c r="C15" s="158"/>
      <c r="D15" s="158"/>
      <c r="E15" s="158"/>
      <c r="F15" s="158"/>
      <c r="G15" s="158"/>
      <c r="H15" s="646" t="s">
        <v>20</v>
      </c>
      <c r="I15" s="646"/>
      <c r="J15" s="90">
        <f>SUM(J11:J12)</f>
        <v>20760</v>
      </c>
      <c r="K15" s="91">
        <f>SUM(K11:K12)</f>
        <v>0</v>
      </c>
      <c r="L15" s="143"/>
      <c r="M15" s="143"/>
    </row>
    <row r="16" spans="1:16" ht="23.25" customHeight="1" thickTop="1">
      <c r="A16" s="144"/>
      <c r="B16" s="145"/>
      <c r="C16" s="158"/>
      <c r="D16" s="158"/>
      <c r="E16" s="158"/>
      <c r="F16" s="158"/>
      <c r="G16" s="158"/>
      <c r="H16" s="137"/>
      <c r="I16" s="160"/>
      <c r="J16" s="93"/>
      <c r="K16" s="94"/>
      <c r="L16" s="143"/>
      <c r="M16" s="143"/>
    </row>
    <row r="17" spans="1:13" ht="23.25" customHeight="1">
      <c r="A17" s="129" t="s">
        <v>52</v>
      </c>
      <c r="B17" s="109">
        <v>5</v>
      </c>
      <c r="C17" s="161">
        <v>0.65</v>
      </c>
      <c r="D17" s="161">
        <v>0.7</v>
      </c>
      <c r="E17" s="161">
        <v>0.75</v>
      </c>
      <c r="F17" s="161">
        <v>0.8</v>
      </c>
      <c r="G17" s="161">
        <v>0.85</v>
      </c>
      <c r="H17" s="619" t="s">
        <v>46</v>
      </c>
      <c r="I17" s="620"/>
      <c r="J17" s="620"/>
      <c r="K17" s="621"/>
      <c r="L17" s="134">
        <f>'[1]6 เดือน'!$L$17</f>
        <v>1</v>
      </c>
      <c r="M17" s="135">
        <f>IF(L17=0,"-",ROUND(L17*B17/B$94,4))</f>
        <v>0.05</v>
      </c>
    </row>
    <row r="18" spans="1:13" ht="23.25" customHeight="1">
      <c r="A18" s="144" t="s">
        <v>44</v>
      </c>
      <c r="B18" s="145"/>
      <c r="C18" s="158"/>
      <c r="D18" s="158"/>
      <c r="E18" s="158"/>
      <c r="F18" s="158"/>
      <c r="G18" s="158"/>
      <c r="H18" s="622" t="s">
        <v>47</v>
      </c>
      <c r="I18" s="623"/>
      <c r="J18" s="623"/>
      <c r="K18" s="624"/>
      <c r="L18" s="143"/>
      <c r="M18" s="143"/>
    </row>
    <row r="19" spans="1:13" ht="23.25" customHeight="1">
      <c r="A19" s="162"/>
      <c r="B19" s="145"/>
      <c r="C19" s="158"/>
      <c r="D19" s="158"/>
      <c r="E19" s="158"/>
      <c r="F19" s="158"/>
      <c r="G19" s="158"/>
      <c r="H19" s="622" t="s">
        <v>48</v>
      </c>
      <c r="I19" s="623"/>
      <c r="J19" s="623"/>
      <c r="K19" s="624"/>
      <c r="L19" s="143"/>
      <c r="M19" s="143"/>
    </row>
    <row r="20" spans="1:13" ht="23.25" customHeight="1">
      <c r="A20" s="162"/>
      <c r="B20" s="145"/>
      <c r="C20" s="158"/>
      <c r="D20" s="158"/>
      <c r="E20" s="158"/>
      <c r="F20" s="158"/>
      <c r="G20" s="158"/>
      <c r="H20" s="622" t="s">
        <v>49</v>
      </c>
      <c r="I20" s="623"/>
      <c r="J20" s="623"/>
      <c r="K20" s="624"/>
      <c r="L20" s="143"/>
      <c r="M20" s="143"/>
    </row>
    <row r="21" spans="1:13" ht="23.25" customHeight="1">
      <c r="A21" s="162"/>
      <c r="B21" s="145"/>
      <c r="C21" s="158"/>
      <c r="D21" s="158"/>
      <c r="E21" s="158"/>
      <c r="F21" s="158"/>
      <c r="G21" s="158"/>
      <c r="H21" s="622" t="s">
        <v>50</v>
      </c>
      <c r="I21" s="623"/>
      <c r="J21" s="623"/>
      <c r="K21" s="624"/>
      <c r="L21" s="143"/>
      <c r="M21" s="143"/>
    </row>
    <row r="22" spans="1:13" ht="23.25" customHeight="1">
      <c r="A22" s="162"/>
      <c r="B22" s="145"/>
      <c r="C22" s="158"/>
      <c r="D22" s="158"/>
      <c r="E22" s="158"/>
      <c r="F22" s="158"/>
      <c r="G22" s="158"/>
      <c r="H22" s="163"/>
      <c r="I22" s="164" t="s">
        <v>54</v>
      </c>
      <c r="J22" s="111" t="e">
        <f>'[1]6 เดือน'!$J$22</f>
        <v>#REF!</v>
      </c>
      <c r="K22" s="165" t="s">
        <v>51</v>
      </c>
      <c r="L22" s="143"/>
      <c r="M22" s="143"/>
    </row>
    <row r="23" spans="1:13" ht="23.25" customHeight="1">
      <c r="A23" s="166"/>
      <c r="B23" s="167"/>
      <c r="C23" s="146"/>
      <c r="D23" s="146"/>
      <c r="E23" s="146"/>
      <c r="F23" s="146"/>
      <c r="G23" s="146"/>
      <c r="H23" s="633"/>
      <c r="I23" s="629"/>
      <c r="J23" s="629"/>
      <c r="K23" s="630"/>
      <c r="L23" s="168"/>
      <c r="M23" s="168"/>
    </row>
    <row r="24" spans="1:13" ht="23.25" customHeight="1">
      <c r="A24" s="129" t="s">
        <v>53</v>
      </c>
      <c r="B24" s="109">
        <v>10</v>
      </c>
      <c r="C24" s="161">
        <v>0.73</v>
      </c>
      <c r="D24" s="161">
        <v>0.76</v>
      </c>
      <c r="E24" s="161">
        <v>0.79</v>
      </c>
      <c r="F24" s="161">
        <v>0.82</v>
      </c>
      <c r="G24" s="161">
        <v>0.85</v>
      </c>
      <c r="H24" s="620" t="s">
        <v>82</v>
      </c>
      <c r="I24" s="620"/>
      <c r="J24" s="620"/>
      <c r="K24" s="621"/>
      <c r="L24" s="134">
        <f>'[1]6 เดือน'!$L$24</f>
        <v>1</v>
      </c>
      <c r="M24" s="135">
        <f>IF(L24=0,"-",ROUND(L24*B24/B$94,4))</f>
        <v>0.1</v>
      </c>
    </row>
    <row r="25" spans="1:13" ht="23.25" customHeight="1">
      <c r="A25" s="144" t="s">
        <v>21</v>
      </c>
      <c r="B25" s="145"/>
      <c r="C25" s="158"/>
      <c r="D25" s="158"/>
      <c r="E25" s="158"/>
      <c r="F25" s="158"/>
      <c r="G25" s="158"/>
      <c r="H25" s="622" t="s">
        <v>83</v>
      </c>
      <c r="I25" s="623"/>
      <c r="J25" s="623"/>
      <c r="K25" s="624"/>
      <c r="L25" s="143"/>
      <c r="M25" s="143"/>
    </row>
    <row r="26" spans="1:13" ht="23.25" customHeight="1">
      <c r="A26" s="169"/>
      <c r="B26" s="145"/>
      <c r="C26" s="158"/>
      <c r="D26" s="158"/>
      <c r="E26" s="158"/>
      <c r="F26" s="158"/>
      <c r="G26" s="158"/>
      <c r="H26" s="622" t="s">
        <v>55</v>
      </c>
      <c r="I26" s="623"/>
      <c r="J26" s="623"/>
      <c r="K26" s="624"/>
      <c r="L26" s="143"/>
      <c r="M26" s="143"/>
    </row>
    <row r="27" spans="1:13" ht="23.25" customHeight="1">
      <c r="A27" s="169"/>
      <c r="B27" s="145"/>
      <c r="C27" s="158"/>
      <c r="D27" s="158"/>
      <c r="E27" s="158"/>
      <c r="F27" s="158"/>
      <c r="G27" s="158"/>
      <c r="H27" s="170"/>
      <c r="I27" s="171" t="s">
        <v>56</v>
      </c>
      <c r="J27" s="111">
        <f>'[1]6 เดือน'!$J$27</f>
        <v>23.72</v>
      </c>
      <c r="K27" s="165" t="s">
        <v>51</v>
      </c>
      <c r="L27" s="143"/>
      <c r="M27" s="143"/>
    </row>
    <row r="28" spans="1:13" ht="23.25" customHeight="1">
      <c r="A28" s="172"/>
      <c r="B28" s="167"/>
      <c r="C28" s="146"/>
      <c r="D28" s="146"/>
      <c r="E28" s="146"/>
      <c r="F28" s="146"/>
      <c r="G28" s="146"/>
      <c r="H28" s="173"/>
      <c r="I28" s="174"/>
      <c r="J28" s="174"/>
      <c r="K28" s="175"/>
      <c r="L28" s="168"/>
      <c r="M28" s="168"/>
    </row>
    <row r="29" spans="1:13" ht="24.75" customHeight="1">
      <c r="A29" s="129" t="s">
        <v>22</v>
      </c>
      <c r="B29" s="109">
        <v>5</v>
      </c>
      <c r="C29" s="176">
        <v>0.92</v>
      </c>
      <c r="D29" s="176">
        <v>0.94</v>
      </c>
      <c r="E29" s="176">
        <v>0.96</v>
      </c>
      <c r="F29" s="176">
        <v>0.98</v>
      </c>
      <c r="G29" s="176">
        <v>1</v>
      </c>
      <c r="H29" s="619" t="s">
        <v>57</v>
      </c>
      <c r="I29" s="620"/>
      <c r="J29" s="620"/>
      <c r="K29" s="621"/>
      <c r="L29" s="134">
        <f>'[1]6 เดือน'!$L$29</f>
        <v>1</v>
      </c>
      <c r="M29" s="135">
        <f>IF(L29=0,"-",ROUND(L29*B29/B$94,4))</f>
        <v>0.05</v>
      </c>
    </row>
    <row r="30" spans="1:13" ht="24.75" customHeight="1">
      <c r="A30" s="144" t="s">
        <v>23</v>
      </c>
      <c r="B30" s="145"/>
      <c r="C30" s="158"/>
      <c r="D30" s="158"/>
      <c r="E30" s="158"/>
      <c r="F30" s="158"/>
      <c r="G30" s="158"/>
      <c r="H30" s="622" t="s">
        <v>58</v>
      </c>
      <c r="I30" s="623"/>
      <c r="J30" s="623"/>
      <c r="K30" s="624"/>
      <c r="L30" s="143"/>
      <c r="M30" s="143"/>
    </row>
    <row r="31" spans="1:13" ht="24.75" customHeight="1">
      <c r="A31" s="144" t="s">
        <v>24</v>
      </c>
      <c r="B31" s="145"/>
      <c r="C31" s="158"/>
      <c r="D31" s="158"/>
      <c r="E31" s="158"/>
      <c r="F31" s="158"/>
      <c r="G31" s="158"/>
      <c r="H31" s="622" t="s">
        <v>77</v>
      </c>
      <c r="I31" s="623"/>
      <c r="J31" s="623"/>
      <c r="K31" s="624"/>
      <c r="L31" s="143"/>
      <c r="M31" s="143"/>
    </row>
    <row r="32" spans="1:13" ht="24.75" customHeight="1">
      <c r="A32" s="169"/>
      <c r="B32" s="145"/>
      <c r="C32" s="158"/>
      <c r="D32" s="158"/>
      <c r="E32" s="158"/>
      <c r="F32" s="158"/>
      <c r="G32" s="158"/>
      <c r="H32" s="622" t="s">
        <v>59</v>
      </c>
      <c r="I32" s="623"/>
      <c r="J32" s="623"/>
      <c r="K32" s="624"/>
      <c r="L32" s="143"/>
      <c r="M32" s="143"/>
    </row>
    <row r="33" spans="1:13" ht="24.75" customHeight="1">
      <c r="A33" s="169"/>
      <c r="B33" s="145"/>
      <c r="C33" s="158"/>
      <c r="D33" s="158"/>
      <c r="E33" s="158"/>
      <c r="F33" s="158"/>
      <c r="G33" s="158"/>
      <c r="H33" s="177"/>
      <c r="I33" s="171" t="s">
        <v>56</v>
      </c>
      <c r="J33" s="111">
        <f>'[1]6 เดือน'!$J$33</f>
        <v>25.19</v>
      </c>
      <c r="K33" s="165" t="s">
        <v>51</v>
      </c>
      <c r="L33" s="143"/>
      <c r="M33" s="143"/>
    </row>
    <row r="34" spans="1:13" ht="24.75" customHeight="1">
      <c r="A34" s="169"/>
      <c r="B34" s="145"/>
      <c r="C34" s="158"/>
      <c r="D34" s="158"/>
      <c r="E34" s="158"/>
      <c r="F34" s="158"/>
      <c r="G34" s="158"/>
      <c r="H34" s="178"/>
      <c r="I34" s="140"/>
      <c r="J34" s="140"/>
      <c r="K34" s="148"/>
      <c r="L34" s="143"/>
      <c r="M34" s="143"/>
    </row>
    <row r="35" spans="1:13" ht="24.75" customHeight="1">
      <c r="A35" s="129" t="s">
        <v>25</v>
      </c>
      <c r="B35" s="109">
        <v>10</v>
      </c>
      <c r="C35" s="176">
        <v>0.96</v>
      </c>
      <c r="D35" s="176">
        <v>0.97</v>
      </c>
      <c r="E35" s="176">
        <v>0.98</v>
      </c>
      <c r="F35" s="176">
        <v>0.99</v>
      </c>
      <c r="G35" s="176">
        <v>1</v>
      </c>
      <c r="H35" s="619" t="s">
        <v>73</v>
      </c>
      <c r="I35" s="620"/>
      <c r="J35" s="620"/>
      <c r="K35" s="621"/>
      <c r="L35" s="134">
        <v>1</v>
      </c>
      <c r="M35" s="135">
        <f>IF(L35=0,"-",ROUND(L35*B35/B$94,4))</f>
        <v>0.1</v>
      </c>
    </row>
    <row r="36" spans="1:13" ht="24.75" customHeight="1">
      <c r="A36" s="144" t="s">
        <v>26</v>
      </c>
      <c r="B36" s="145"/>
      <c r="C36" s="158"/>
      <c r="D36" s="158"/>
      <c r="E36" s="158"/>
      <c r="F36" s="158"/>
      <c r="G36" s="158"/>
      <c r="H36" s="634" t="s">
        <v>74</v>
      </c>
      <c r="I36" s="635"/>
      <c r="J36" s="635"/>
      <c r="K36" s="636"/>
      <c r="L36" s="143"/>
      <c r="M36" s="143"/>
    </row>
    <row r="37" spans="1:13" ht="24.75" customHeight="1">
      <c r="A37" s="169"/>
      <c r="B37" s="145"/>
      <c r="C37" s="158"/>
      <c r="D37" s="158"/>
      <c r="E37" s="158"/>
      <c r="F37" s="158"/>
      <c r="G37" s="158"/>
      <c r="H37" s="634" t="s">
        <v>75</v>
      </c>
      <c r="I37" s="635"/>
      <c r="J37" s="635"/>
      <c r="K37" s="636"/>
      <c r="L37" s="143"/>
      <c r="M37" s="143"/>
    </row>
    <row r="38" spans="1:13" ht="24.75" customHeight="1">
      <c r="A38" s="169"/>
      <c r="B38" s="145"/>
      <c r="C38" s="158"/>
      <c r="D38" s="158"/>
      <c r="E38" s="158"/>
      <c r="F38" s="158"/>
      <c r="G38" s="158"/>
      <c r="H38" s="634" t="s">
        <v>76</v>
      </c>
      <c r="I38" s="637"/>
      <c r="J38" s="637"/>
      <c r="K38" s="638"/>
      <c r="L38" s="143"/>
      <c r="M38" s="143"/>
    </row>
    <row r="39" spans="1:13" ht="24.75" customHeight="1">
      <c r="A39" s="169"/>
      <c r="B39" s="145"/>
      <c r="C39" s="158"/>
      <c r="D39" s="158"/>
      <c r="E39" s="158"/>
      <c r="F39" s="158"/>
      <c r="G39" s="158"/>
      <c r="H39" s="177"/>
      <c r="I39" s="171" t="s">
        <v>56</v>
      </c>
      <c r="J39" s="111">
        <v>0</v>
      </c>
      <c r="K39" s="165" t="s">
        <v>51</v>
      </c>
      <c r="L39" s="143"/>
      <c r="M39" s="143"/>
    </row>
    <row r="40" spans="1:13" ht="24.75" customHeight="1">
      <c r="A40" s="172"/>
      <c r="B40" s="167"/>
      <c r="C40" s="146"/>
      <c r="D40" s="146"/>
      <c r="E40" s="146"/>
      <c r="F40" s="146"/>
      <c r="G40" s="146"/>
      <c r="H40" s="173"/>
      <c r="I40" s="179"/>
      <c r="J40" s="179"/>
      <c r="K40" s="180"/>
      <c r="L40" s="168"/>
      <c r="M40" s="168"/>
    </row>
    <row r="41" spans="1:13" ht="24.75" customHeight="1">
      <c r="A41" s="129" t="s">
        <v>27</v>
      </c>
      <c r="B41" s="109">
        <v>10</v>
      </c>
      <c r="C41" s="181">
        <v>0.96</v>
      </c>
      <c r="D41" s="181">
        <v>0.97</v>
      </c>
      <c r="E41" s="181">
        <v>0.98</v>
      </c>
      <c r="F41" s="181">
        <v>0.99</v>
      </c>
      <c r="G41" s="181">
        <v>1</v>
      </c>
      <c r="H41" s="619" t="s">
        <v>62</v>
      </c>
      <c r="I41" s="620"/>
      <c r="J41" s="620"/>
      <c r="K41" s="621"/>
      <c r="L41" s="134">
        <f>'[1]6 เดือน'!$L$41</f>
        <v>1</v>
      </c>
      <c r="M41" s="135">
        <f>IF(L41=0,"-",ROUND(L41*B41/B$94,4))</f>
        <v>0.1</v>
      </c>
    </row>
    <row r="42" spans="1:13" ht="24.75" customHeight="1">
      <c r="A42" s="144" t="s">
        <v>28</v>
      </c>
      <c r="B42" s="145"/>
      <c r="C42" s="182"/>
      <c r="D42" s="182"/>
      <c r="E42" s="182"/>
      <c r="F42" s="182"/>
      <c r="G42" s="182"/>
      <c r="H42" s="622" t="s">
        <v>63</v>
      </c>
      <c r="I42" s="623"/>
      <c r="J42" s="623"/>
      <c r="K42" s="624"/>
      <c r="L42" s="143"/>
      <c r="M42" s="143"/>
    </row>
    <row r="43" spans="1:13" ht="24.75" customHeight="1">
      <c r="A43" s="144" t="s">
        <v>60</v>
      </c>
      <c r="B43" s="145"/>
      <c r="C43" s="182"/>
      <c r="D43" s="182"/>
      <c r="E43" s="182"/>
      <c r="F43" s="182"/>
      <c r="G43" s="182"/>
      <c r="H43" s="622" t="s">
        <v>64</v>
      </c>
      <c r="I43" s="623"/>
      <c r="J43" s="623"/>
      <c r="K43" s="624"/>
      <c r="L43" s="143"/>
      <c r="M43" s="143"/>
    </row>
    <row r="44" spans="1:13" ht="24.75" customHeight="1">
      <c r="A44" s="144"/>
      <c r="B44" s="145"/>
      <c r="C44" s="182"/>
      <c r="D44" s="182"/>
      <c r="E44" s="182"/>
      <c r="F44" s="182"/>
      <c r="G44" s="182"/>
      <c r="H44" s="170" t="s">
        <v>65</v>
      </c>
      <c r="I44" s="164"/>
      <c r="J44" s="160"/>
      <c r="K44" s="183"/>
      <c r="L44" s="143"/>
      <c r="M44" s="143"/>
    </row>
    <row r="45" spans="1:13" ht="24.75" customHeight="1">
      <c r="A45" s="144"/>
      <c r="B45" s="145"/>
      <c r="C45" s="182"/>
      <c r="D45" s="182"/>
      <c r="E45" s="182"/>
      <c r="F45" s="182"/>
      <c r="G45" s="182"/>
      <c r="H45" s="170"/>
      <c r="I45" s="164" t="s">
        <v>66</v>
      </c>
      <c r="J45" s="111">
        <v>0</v>
      </c>
      <c r="K45" s="183" t="s">
        <v>61</v>
      </c>
      <c r="L45" s="143"/>
      <c r="M45" s="143"/>
    </row>
    <row r="46" spans="1:13" ht="24.75" customHeight="1">
      <c r="A46" s="144"/>
      <c r="B46" s="145"/>
      <c r="C46" s="182"/>
      <c r="D46" s="182"/>
      <c r="E46" s="182"/>
      <c r="F46" s="182"/>
      <c r="G46" s="182"/>
      <c r="H46" s="170"/>
      <c r="I46" s="164" t="s">
        <v>67</v>
      </c>
      <c r="J46" s="111">
        <v>0</v>
      </c>
      <c r="K46" s="183" t="s">
        <v>61</v>
      </c>
      <c r="L46" s="143"/>
      <c r="M46" s="143"/>
    </row>
    <row r="47" spans="1:13" ht="24.75" customHeight="1">
      <c r="A47" s="144"/>
      <c r="B47" s="145"/>
      <c r="C47" s="182"/>
      <c r="D47" s="182"/>
      <c r="E47" s="182"/>
      <c r="F47" s="182"/>
      <c r="G47" s="182"/>
      <c r="H47" s="177"/>
      <c r="I47" s="171" t="s">
        <v>81</v>
      </c>
      <c r="J47" s="111">
        <v>0</v>
      </c>
      <c r="K47" s="165" t="s">
        <v>51</v>
      </c>
      <c r="L47" s="143"/>
      <c r="M47" s="143"/>
    </row>
    <row r="48" spans="1:13" ht="25.5">
      <c r="A48" s="144"/>
      <c r="B48" s="145"/>
      <c r="C48" s="182"/>
      <c r="D48" s="182"/>
      <c r="E48" s="182"/>
      <c r="F48" s="182"/>
      <c r="G48" s="182"/>
      <c r="H48" s="628"/>
      <c r="I48" s="629"/>
      <c r="J48" s="629"/>
      <c r="K48" s="630"/>
      <c r="L48" s="143"/>
      <c r="M48" s="143"/>
    </row>
    <row r="49" spans="1:13" ht="24.75" customHeight="1">
      <c r="A49" s="129" t="s">
        <v>68</v>
      </c>
      <c r="B49" s="109">
        <v>5</v>
      </c>
      <c r="C49" s="176">
        <v>0.5</v>
      </c>
      <c r="D49" s="176">
        <v>0.75</v>
      </c>
      <c r="E49" s="176">
        <v>1</v>
      </c>
      <c r="F49" s="176">
        <v>1</v>
      </c>
      <c r="G49" s="176">
        <v>1</v>
      </c>
      <c r="H49" s="619" t="s">
        <v>78</v>
      </c>
      <c r="I49" s="620"/>
      <c r="J49" s="620"/>
      <c r="K49" s="621"/>
      <c r="L49" s="134">
        <f>'[1]6 เดือน'!$L$49</f>
        <v>1</v>
      </c>
      <c r="M49" s="135">
        <f>IF(L49=0,"-",ROUND(L49*B49/B$94,4))</f>
        <v>0.05</v>
      </c>
    </row>
    <row r="50" spans="1:13" ht="24.75" customHeight="1">
      <c r="A50" s="144" t="s">
        <v>69</v>
      </c>
      <c r="B50" s="137"/>
      <c r="C50" s="184"/>
      <c r="D50" s="184"/>
      <c r="E50" s="184"/>
      <c r="F50" s="184" t="s">
        <v>70</v>
      </c>
      <c r="G50" s="184" t="s">
        <v>70</v>
      </c>
      <c r="H50" s="623" t="s">
        <v>79</v>
      </c>
      <c r="I50" s="623"/>
      <c r="J50" s="623"/>
      <c r="K50" s="624"/>
      <c r="L50" s="143"/>
      <c r="M50" s="143"/>
    </row>
    <row r="51" spans="1:13" ht="24.75" customHeight="1">
      <c r="A51" s="144"/>
      <c r="B51" s="137"/>
      <c r="C51" s="184"/>
      <c r="D51" s="184"/>
      <c r="E51" s="184"/>
      <c r="F51" s="184" t="s">
        <v>71</v>
      </c>
      <c r="G51" s="184" t="s">
        <v>72</v>
      </c>
      <c r="H51" s="623" t="s">
        <v>80</v>
      </c>
      <c r="I51" s="623"/>
      <c r="J51" s="623"/>
      <c r="K51" s="624"/>
      <c r="L51" s="143"/>
      <c r="M51" s="143"/>
    </row>
    <row r="52" spans="1:13" ht="24.75" customHeight="1">
      <c r="A52" s="144"/>
      <c r="B52" s="137"/>
      <c r="C52" s="185"/>
      <c r="D52" s="185"/>
      <c r="E52" s="185"/>
      <c r="F52" s="185"/>
      <c r="G52" s="185"/>
      <c r="H52" s="177"/>
      <c r="I52" s="171" t="s">
        <v>56</v>
      </c>
      <c r="J52" s="111">
        <v>0</v>
      </c>
      <c r="K52" s="165" t="s">
        <v>51</v>
      </c>
      <c r="L52" s="143"/>
      <c r="M52" s="143"/>
    </row>
    <row r="53" spans="1:13" ht="25.5">
      <c r="A53" s="186"/>
      <c r="B53" s="167"/>
      <c r="C53" s="146"/>
      <c r="D53" s="146"/>
      <c r="E53" s="146"/>
      <c r="F53" s="146"/>
      <c r="G53" s="146"/>
      <c r="H53" s="628"/>
      <c r="I53" s="631"/>
      <c r="J53" s="631"/>
      <c r="K53" s="632"/>
      <c r="L53" s="168"/>
      <c r="M53" s="168"/>
    </row>
    <row r="54" spans="1:13" ht="24.75" customHeight="1">
      <c r="A54" s="129" t="s">
        <v>84</v>
      </c>
      <c r="B54" s="109">
        <v>10</v>
      </c>
      <c r="C54" s="176">
        <v>0.78</v>
      </c>
      <c r="D54" s="176">
        <v>0.81</v>
      </c>
      <c r="E54" s="176">
        <v>0.84</v>
      </c>
      <c r="F54" s="176">
        <v>0.87</v>
      </c>
      <c r="G54" s="176">
        <v>0.9</v>
      </c>
      <c r="H54" s="619" t="s">
        <v>99</v>
      </c>
      <c r="I54" s="620"/>
      <c r="J54" s="620"/>
      <c r="K54" s="621"/>
      <c r="L54" s="134">
        <v>1</v>
      </c>
      <c r="M54" s="135">
        <f>IF(L54=0,"-",ROUND(L54*B54/B$94,4))</f>
        <v>0.1</v>
      </c>
    </row>
    <row r="55" spans="1:13" ht="24.75" customHeight="1">
      <c r="A55" s="144" t="s">
        <v>85</v>
      </c>
      <c r="B55" s="145"/>
      <c r="C55" s="182"/>
      <c r="D55" s="182"/>
      <c r="E55" s="182"/>
      <c r="F55" s="182"/>
      <c r="G55" s="182"/>
      <c r="H55" s="622" t="s">
        <v>100</v>
      </c>
      <c r="I55" s="623"/>
      <c r="J55" s="623"/>
      <c r="K55" s="624"/>
      <c r="L55" s="143"/>
      <c r="M55" s="143"/>
    </row>
    <row r="56" spans="1:13" ht="24.75" customHeight="1">
      <c r="A56" s="169"/>
      <c r="B56" s="145"/>
      <c r="C56" s="182"/>
      <c r="D56" s="182"/>
      <c r="E56" s="182"/>
      <c r="F56" s="182"/>
      <c r="G56" s="182"/>
      <c r="H56" s="171"/>
      <c r="I56" s="171" t="s">
        <v>87</v>
      </c>
      <c r="J56" s="111">
        <f>'[1]6 เดือน'!$J$56</f>
        <v>3061.06</v>
      </c>
      <c r="K56" s="165" t="s">
        <v>34</v>
      </c>
      <c r="L56" s="143"/>
      <c r="M56" s="143"/>
    </row>
    <row r="57" spans="1:13" ht="24.75" customHeight="1">
      <c r="A57" s="169"/>
      <c r="B57" s="145"/>
      <c r="C57" s="182"/>
      <c r="D57" s="182"/>
      <c r="E57" s="182"/>
      <c r="F57" s="182"/>
      <c r="G57" s="182"/>
      <c r="H57" s="171"/>
      <c r="I57" s="171" t="s">
        <v>86</v>
      </c>
      <c r="J57" s="111">
        <f>'[1]6 เดือน'!$J$57</f>
        <v>1170.95</v>
      </c>
      <c r="K57" s="165" t="s">
        <v>34</v>
      </c>
      <c r="L57" s="143"/>
      <c r="M57" s="143"/>
    </row>
    <row r="58" spans="1:13" ht="24.75" customHeight="1">
      <c r="A58" s="169"/>
      <c r="B58" s="145"/>
      <c r="C58" s="182"/>
      <c r="D58" s="182"/>
      <c r="E58" s="182"/>
      <c r="F58" s="182"/>
      <c r="G58" s="182"/>
      <c r="H58" s="171"/>
      <c r="I58" s="171" t="s">
        <v>88</v>
      </c>
      <c r="J58" s="111">
        <f>'[1]6 เดือน'!$J$58</f>
        <v>38.25308879930482</v>
      </c>
      <c r="K58" s="165" t="s">
        <v>51</v>
      </c>
      <c r="L58" s="143"/>
      <c r="M58" s="143"/>
    </row>
    <row r="59" spans="1:13" ht="27.75" customHeight="1">
      <c r="A59" s="172"/>
      <c r="B59" s="167"/>
      <c r="C59" s="187"/>
      <c r="D59" s="187"/>
      <c r="E59" s="187"/>
      <c r="F59" s="187"/>
      <c r="G59" s="187"/>
      <c r="H59" s="188"/>
      <c r="I59" s="179"/>
      <c r="J59" s="189"/>
      <c r="K59" s="180"/>
      <c r="L59" s="168"/>
      <c r="M59" s="168"/>
    </row>
    <row r="60" spans="1:13" ht="24.75" customHeight="1">
      <c r="A60" s="129" t="s">
        <v>89</v>
      </c>
      <c r="B60" s="109">
        <v>5</v>
      </c>
      <c r="C60" s="176">
        <v>0.6</v>
      </c>
      <c r="D60" s="176">
        <v>0.65</v>
      </c>
      <c r="E60" s="176">
        <v>0.7</v>
      </c>
      <c r="F60" s="176">
        <v>0.75</v>
      </c>
      <c r="G60" s="176">
        <v>0.8</v>
      </c>
      <c r="H60" s="619" t="s">
        <v>92</v>
      </c>
      <c r="I60" s="620"/>
      <c r="J60" s="620"/>
      <c r="K60" s="621"/>
      <c r="L60" s="134">
        <f>'[1]6 เดือน'!$L$60</f>
        <v>1</v>
      </c>
      <c r="M60" s="135">
        <f>IF(L60=0,"-",ROUND(L60*B60/B$94,4))</f>
        <v>0.05</v>
      </c>
    </row>
    <row r="61" spans="1:13" ht="24.75" customHeight="1">
      <c r="A61" s="144" t="s">
        <v>90</v>
      </c>
      <c r="B61" s="137"/>
      <c r="C61" s="190"/>
      <c r="D61" s="190"/>
      <c r="E61" s="190"/>
      <c r="F61" s="190"/>
      <c r="G61" s="190"/>
      <c r="H61" s="622" t="s">
        <v>93</v>
      </c>
      <c r="I61" s="623"/>
      <c r="J61" s="623"/>
      <c r="K61" s="624"/>
      <c r="L61" s="143"/>
      <c r="M61" s="143"/>
    </row>
    <row r="62" spans="1:13" ht="24.75" customHeight="1">
      <c r="A62" s="144" t="s">
        <v>91</v>
      </c>
      <c r="B62" s="145"/>
      <c r="C62" s="158"/>
      <c r="D62" s="158"/>
      <c r="E62" s="158"/>
      <c r="F62" s="158"/>
      <c r="G62" s="158"/>
      <c r="H62" s="622" t="s">
        <v>94</v>
      </c>
      <c r="I62" s="623"/>
      <c r="J62" s="623"/>
      <c r="K62" s="624"/>
      <c r="L62" s="143"/>
      <c r="M62" s="143"/>
    </row>
    <row r="63" spans="1:13" ht="24.75" customHeight="1">
      <c r="A63" s="144"/>
      <c r="B63" s="145"/>
      <c r="C63" s="158"/>
      <c r="D63" s="158"/>
      <c r="E63" s="158"/>
      <c r="F63" s="158"/>
      <c r="G63" s="158"/>
      <c r="H63" s="177" t="s">
        <v>95</v>
      </c>
      <c r="I63" s="139"/>
      <c r="J63" s="139"/>
      <c r="K63" s="165"/>
      <c r="L63" s="143"/>
      <c r="M63" s="143"/>
    </row>
    <row r="64" spans="1:13" ht="24.75" customHeight="1">
      <c r="A64" s="144"/>
      <c r="B64" s="145"/>
      <c r="C64" s="158"/>
      <c r="D64" s="158"/>
      <c r="E64" s="158"/>
      <c r="F64" s="158"/>
      <c r="G64" s="158"/>
      <c r="H64" s="170"/>
      <c r="I64" s="164" t="s">
        <v>97</v>
      </c>
      <c r="J64" s="111">
        <v>0</v>
      </c>
      <c r="K64" s="183" t="s">
        <v>96</v>
      </c>
      <c r="L64" s="143"/>
      <c r="M64" s="143"/>
    </row>
    <row r="65" spans="1:32" ht="24.75" customHeight="1">
      <c r="A65" s="169"/>
      <c r="B65" s="145"/>
      <c r="C65" s="158"/>
      <c r="D65" s="158"/>
      <c r="E65" s="158"/>
      <c r="F65" s="158"/>
      <c r="G65" s="158"/>
      <c r="H65" s="170"/>
      <c r="I65" s="164" t="s">
        <v>98</v>
      </c>
      <c r="J65" s="111">
        <v>0</v>
      </c>
      <c r="K65" s="183" t="s">
        <v>96</v>
      </c>
      <c r="L65" s="143"/>
      <c r="M65" s="143"/>
    </row>
    <row r="66" spans="1:32" ht="24.75" customHeight="1">
      <c r="A66" s="169"/>
      <c r="B66" s="145"/>
      <c r="C66" s="158"/>
      <c r="D66" s="158"/>
      <c r="E66" s="158"/>
      <c r="F66" s="158"/>
      <c r="G66" s="158"/>
      <c r="H66" s="177"/>
      <c r="I66" s="164" t="s">
        <v>35</v>
      </c>
      <c r="J66" s="111">
        <v>0</v>
      </c>
      <c r="K66" s="165" t="s">
        <v>51</v>
      </c>
      <c r="L66" s="143"/>
      <c r="M66" s="143"/>
    </row>
    <row r="67" spans="1:32" ht="24.75" customHeight="1">
      <c r="A67" s="169"/>
      <c r="B67" s="145"/>
      <c r="C67" s="158"/>
      <c r="D67" s="158"/>
      <c r="E67" s="158"/>
      <c r="F67" s="158"/>
      <c r="G67" s="158"/>
      <c r="H67" s="171"/>
      <c r="I67" s="191"/>
      <c r="J67" s="191"/>
      <c r="K67" s="192"/>
      <c r="L67" s="143"/>
      <c r="M67" s="143"/>
    </row>
    <row r="68" spans="1:32" ht="24.75" customHeight="1">
      <c r="A68" s="129" t="s">
        <v>101</v>
      </c>
      <c r="B68" s="110">
        <v>5</v>
      </c>
      <c r="C68" s="193">
        <v>0.65</v>
      </c>
      <c r="D68" s="193">
        <v>0.7</v>
      </c>
      <c r="E68" s="193">
        <v>0.75</v>
      </c>
      <c r="F68" s="193">
        <v>0.8</v>
      </c>
      <c r="G68" s="193">
        <v>0.85</v>
      </c>
      <c r="H68" s="619" t="s">
        <v>103</v>
      </c>
      <c r="I68" s="620"/>
      <c r="J68" s="620"/>
      <c r="K68" s="621"/>
      <c r="L68" s="134">
        <f>'[1]6 เดือน'!$L$68</f>
        <v>1</v>
      </c>
      <c r="M68" s="135">
        <f>IF(L68=0,"-",ROUND(L68*B68/B$94,4))</f>
        <v>0.05</v>
      </c>
    </row>
    <row r="69" spans="1:32" ht="24.75" customHeight="1">
      <c r="A69" s="144" t="s">
        <v>102</v>
      </c>
      <c r="B69" s="145"/>
      <c r="C69" s="182"/>
      <c r="D69" s="182"/>
      <c r="E69" s="182"/>
      <c r="F69" s="182"/>
      <c r="G69" s="182"/>
      <c r="H69" s="622" t="s">
        <v>104</v>
      </c>
      <c r="I69" s="623"/>
      <c r="J69" s="623"/>
      <c r="K69" s="624"/>
      <c r="L69" s="143"/>
      <c r="M69" s="143"/>
    </row>
    <row r="70" spans="1:32" ht="24.75" customHeight="1">
      <c r="A70" s="144"/>
      <c r="B70" s="145"/>
      <c r="C70" s="182"/>
      <c r="D70" s="182"/>
      <c r="E70" s="182"/>
      <c r="F70" s="182"/>
      <c r="G70" s="182"/>
      <c r="H70" s="622" t="s">
        <v>105</v>
      </c>
      <c r="I70" s="623"/>
      <c r="J70" s="623"/>
      <c r="K70" s="624"/>
      <c r="L70" s="143"/>
      <c r="M70" s="143"/>
    </row>
    <row r="71" spans="1:32" ht="24.75" customHeight="1">
      <c r="A71" s="144"/>
      <c r="B71" s="145"/>
      <c r="C71" s="182"/>
      <c r="D71" s="182"/>
      <c r="E71" s="182"/>
      <c r="F71" s="182"/>
      <c r="G71" s="182"/>
      <c r="H71" s="194"/>
      <c r="I71" s="195" t="s">
        <v>113</v>
      </c>
      <c r="J71" s="111">
        <v>0</v>
      </c>
      <c r="K71" s="165" t="s">
        <v>51</v>
      </c>
      <c r="L71" s="143"/>
      <c r="M71" s="143"/>
    </row>
    <row r="72" spans="1:32" ht="24.75" customHeight="1">
      <c r="A72" s="144"/>
      <c r="B72" s="145"/>
      <c r="C72" s="182"/>
      <c r="D72" s="182"/>
      <c r="E72" s="182"/>
      <c r="F72" s="182"/>
      <c r="G72" s="196"/>
      <c r="H72" s="197"/>
      <c r="I72" s="197"/>
      <c r="J72" s="197"/>
      <c r="K72" s="197"/>
      <c r="L72" s="143"/>
      <c r="M72" s="143"/>
    </row>
    <row r="73" spans="1:32" ht="24.75" customHeight="1">
      <c r="A73" s="129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19" t="s">
        <v>108</v>
      </c>
      <c r="I73" s="620"/>
      <c r="J73" s="620"/>
      <c r="K73" s="621"/>
      <c r="L73" s="134">
        <f>'[1]6 เดือน'!$L$73</f>
        <v>1</v>
      </c>
      <c r="M73" s="135">
        <f>IF(L73=0,"-",ROUND(L73*B73/B$94,4))</f>
        <v>0.05</v>
      </c>
      <c r="P73" s="1"/>
    </row>
    <row r="74" spans="1:32" ht="24.75" customHeight="1">
      <c r="A74" s="144" t="s">
        <v>107</v>
      </c>
      <c r="B74" s="14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22" t="s">
        <v>109</v>
      </c>
      <c r="I74" s="623"/>
      <c r="J74" s="623"/>
      <c r="K74" s="624"/>
      <c r="L74" s="143"/>
      <c r="M74" s="143"/>
    </row>
    <row r="75" spans="1:32" ht="24.75" customHeight="1">
      <c r="A75" s="144"/>
      <c r="B75" s="145"/>
      <c r="C75" s="196"/>
      <c r="D75" s="196"/>
      <c r="E75" s="196"/>
      <c r="F75" s="196"/>
      <c r="G75" s="196"/>
      <c r="H75" s="622" t="s">
        <v>110</v>
      </c>
      <c r="I75" s="623"/>
      <c r="J75" s="623"/>
      <c r="K75" s="624"/>
      <c r="L75" s="143"/>
      <c r="M75" s="143"/>
      <c r="P75" s="198"/>
      <c r="Q75" s="198"/>
    </row>
    <row r="76" spans="1:32" ht="24.75" customHeight="1">
      <c r="A76" s="144"/>
      <c r="B76" s="145"/>
      <c r="C76" s="196"/>
      <c r="D76" s="196"/>
      <c r="E76" s="196"/>
      <c r="F76" s="196"/>
      <c r="G76" s="196"/>
      <c r="H76" s="622" t="s">
        <v>111</v>
      </c>
      <c r="I76" s="623"/>
      <c r="J76" s="623"/>
      <c r="K76" s="624"/>
      <c r="L76" s="143"/>
      <c r="M76" s="143"/>
      <c r="P76" s="198"/>
      <c r="Q76" s="198"/>
    </row>
    <row r="77" spans="1:32" ht="24.75" customHeight="1">
      <c r="A77" s="144"/>
      <c r="B77" s="145"/>
      <c r="C77" s="196"/>
      <c r="D77" s="196"/>
      <c r="E77" s="196"/>
      <c r="F77" s="196"/>
      <c r="G77" s="196"/>
      <c r="H77" s="177"/>
      <c r="I77" s="164" t="s">
        <v>112</v>
      </c>
      <c r="J77" s="111">
        <v>0</v>
      </c>
      <c r="K77" s="183"/>
      <c r="L77" s="143"/>
      <c r="M77" s="143"/>
      <c r="P77" s="199"/>
      <c r="Q77" s="199"/>
      <c r="R77" s="200"/>
    </row>
    <row r="78" spans="1:32" ht="27" customHeight="1">
      <c r="A78" s="186"/>
      <c r="B78" s="167"/>
      <c r="C78" s="187"/>
      <c r="D78" s="187"/>
      <c r="E78" s="187"/>
      <c r="F78" s="187"/>
      <c r="G78" s="187"/>
      <c r="H78" s="173"/>
      <c r="I78" s="179"/>
      <c r="J78" s="179"/>
      <c r="K78" s="180"/>
      <c r="L78" s="168"/>
      <c r="M78" s="168"/>
    </row>
    <row r="79" spans="1:32" ht="24.75" customHeight="1">
      <c r="A79" s="201" t="s">
        <v>132</v>
      </c>
      <c r="B79" s="110">
        <v>5</v>
      </c>
      <c r="C79" s="202">
        <v>1</v>
      </c>
      <c r="D79" s="202">
        <v>2</v>
      </c>
      <c r="E79" s="202">
        <v>3</v>
      </c>
      <c r="F79" s="202">
        <v>4</v>
      </c>
      <c r="G79" s="202">
        <v>5</v>
      </c>
      <c r="H79" s="619" t="s">
        <v>123</v>
      </c>
      <c r="I79" s="620"/>
      <c r="J79" s="620"/>
      <c r="K79" s="621"/>
      <c r="L79" s="134">
        <f>'[1]6 เดือน'!$L$79</f>
        <v>4.3716577540106956</v>
      </c>
      <c r="M79" s="135">
        <f>IF(L79=0,"-",ROUND(L79*B79/B$94,4))</f>
        <v>0.21859999999999999</v>
      </c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</row>
    <row r="80" spans="1:32" ht="24.75" customHeight="1">
      <c r="A80" s="203" t="s">
        <v>36</v>
      </c>
      <c r="B80" s="204"/>
      <c r="C80" s="182"/>
      <c r="D80" s="182"/>
      <c r="E80" s="182"/>
      <c r="F80" s="182"/>
      <c r="G80" s="147"/>
      <c r="H80" s="177" t="s">
        <v>124</v>
      </c>
      <c r="I80" s="160"/>
      <c r="J80" s="205"/>
      <c r="K80" s="192"/>
      <c r="L80" s="206"/>
      <c r="M80" s="143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</row>
    <row r="81" spans="1:32" ht="24.75" customHeight="1">
      <c r="A81" s="203"/>
      <c r="B81" s="204"/>
      <c r="C81" s="182"/>
      <c r="D81" s="182"/>
      <c r="E81" s="182"/>
      <c r="F81" s="182"/>
      <c r="G81" s="182"/>
      <c r="H81" s="139" t="s">
        <v>125</v>
      </c>
      <c r="I81" s="160"/>
      <c r="J81" s="205"/>
      <c r="K81" s="192"/>
      <c r="L81" s="206"/>
      <c r="M81" s="143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</row>
    <row r="82" spans="1:32" ht="24.75" customHeight="1">
      <c r="A82" s="203"/>
      <c r="B82" s="204"/>
      <c r="C82" s="182"/>
      <c r="D82" s="182"/>
      <c r="E82" s="182"/>
      <c r="F82" s="182"/>
      <c r="G82" s="182"/>
      <c r="H82" s="177" t="s">
        <v>126</v>
      </c>
      <c r="I82" s="160"/>
      <c r="J82" s="205"/>
      <c r="K82" s="192"/>
      <c r="L82" s="206"/>
      <c r="M82" s="143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</row>
    <row r="83" spans="1:32" ht="24.75" customHeight="1">
      <c r="A83" s="203"/>
      <c r="B83" s="204"/>
      <c r="C83" s="182"/>
      <c r="D83" s="182"/>
      <c r="E83" s="182"/>
      <c r="F83" s="182"/>
      <c r="G83" s="182"/>
      <c r="H83" s="177" t="s">
        <v>127</v>
      </c>
      <c r="I83" s="160"/>
      <c r="J83" s="205"/>
      <c r="K83" s="192"/>
      <c r="L83" s="206"/>
      <c r="M83" s="143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</row>
    <row r="84" spans="1:32" ht="24.75" customHeight="1">
      <c r="A84" s="203"/>
      <c r="B84" s="204"/>
      <c r="C84" s="182"/>
      <c r="D84" s="182"/>
      <c r="E84" s="182"/>
      <c r="F84" s="182"/>
      <c r="G84" s="182"/>
      <c r="H84" s="177"/>
      <c r="I84" s="164" t="s">
        <v>114</v>
      </c>
      <c r="J84" s="111">
        <v>4.37</v>
      </c>
      <c r="K84" s="183"/>
      <c r="L84" s="206"/>
      <c r="M84" s="143"/>
      <c r="O84" s="208"/>
      <c r="P84" s="208"/>
      <c r="Q84" s="208"/>
      <c r="R84" s="208"/>
      <c r="S84" s="208"/>
      <c r="T84" s="208"/>
      <c r="U84" s="208"/>
      <c r="V84" s="209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</row>
    <row r="85" spans="1:32" ht="24.75" customHeight="1">
      <c r="A85" s="210"/>
      <c r="B85" s="211"/>
      <c r="C85" s="187"/>
      <c r="D85" s="187"/>
      <c r="E85" s="187"/>
      <c r="F85" s="187"/>
      <c r="G85" s="187"/>
      <c r="H85" s="174"/>
      <c r="I85" s="179"/>
      <c r="J85" s="179"/>
      <c r="K85" s="180"/>
      <c r="L85" s="212"/>
      <c r="M85" s="168"/>
    </row>
    <row r="86" spans="1:32" ht="24.75" customHeight="1">
      <c r="A86" s="129" t="s">
        <v>115</v>
      </c>
      <c r="B86" s="110">
        <v>5</v>
      </c>
      <c r="C86" s="193">
        <v>0.8</v>
      </c>
      <c r="D86" s="193">
        <v>0.85</v>
      </c>
      <c r="E86" s="193">
        <v>0.9</v>
      </c>
      <c r="F86" s="193">
        <v>0.95</v>
      </c>
      <c r="G86" s="193">
        <v>1</v>
      </c>
      <c r="H86" s="619" t="s">
        <v>117</v>
      </c>
      <c r="I86" s="620"/>
      <c r="J86" s="620"/>
      <c r="K86" s="621"/>
      <c r="L86" s="134">
        <v>1</v>
      </c>
      <c r="M86" s="135">
        <f>IF(L86=0,"-",ROUND(L86*B86/B$94,4))</f>
        <v>0.05</v>
      </c>
    </row>
    <row r="87" spans="1:32" ht="24.75" customHeight="1">
      <c r="A87" s="144" t="s">
        <v>116</v>
      </c>
      <c r="B87" s="145"/>
      <c r="C87" s="182"/>
      <c r="D87" s="182"/>
      <c r="E87" s="182"/>
      <c r="F87" s="182"/>
      <c r="G87" s="182"/>
      <c r="H87" s="622" t="s">
        <v>118</v>
      </c>
      <c r="I87" s="623"/>
      <c r="J87" s="623"/>
      <c r="K87" s="624"/>
      <c r="L87" s="143"/>
      <c r="M87" s="143"/>
    </row>
    <row r="88" spans="1:32" ht="24.75" customHeight="1">
      <c r="A88" s="144"/>
      <c r="B88" s="145"/>
      <c r="C88" s="182"/>
      <c r="D88" s="182"/>
      <c r="E88" s="182"/>
      <c r="F88" s="182"/>
      <c r="G88" s="182"/>
      <c r="H88" s="622" t="s">
        <v>119</v>
      </c>
      <c r="I88" s="623"/>
      <c r="J88" s="623"/>
      <c r="K88" s="624"/>
      <c r="L88" s="143"/>
      <c r="M88" s="143"/>
    </row>
    <row r="89" spans="1:32" ht="24.75" customHeight="1">
      <c r="A89" s="144"/>
      <c r="B89" s="145"/>
      <c r="C89" s="182"/>
      <c r="D89" s="182"/>
      <c r="E89" s="182"/>
      <c r="F89" s="182"/>
      <c r="G89" s="182"/>
      <c r="H89" s="177" t="s">
        <v>120</v>
      </c>
      <c r="I89" s="139"/>
      <c r="J89" s="139"/>
      <c r="K89" s="165"/>
      <c r="L89" s="143"/>
      <c r="M89" s="143"/>
    </row>
    <row r="90" spans="1:32" ht="24.75" customHeight="1">
      <c r="A90" s="144"/>
      <c r="B90" s="145"/>
      <c r="C90" s="182"/>
      <c r="D90" s="182"/>
      <c r="E90" s="182"/>
      <c r="F90" s="182"/>
      <c r="G90" s="182"/>
      <c r="H90" s="177" t="s">
        <v>121</v>
      </c>
      <c r="I90" s="139"/>
      <c r="J90" s="139"/>
      <c r="K90" s="165"/>
      <c r="L90" s="143"/>
      <c r="M90" s="143"/>
    </row>
    <row r="91" spans="1:32" ht="24.75" customHeight="1">
      <c r="A91" s="144"/>
      <c r="B91" s="145"/>
      <c r="C91" s="182"/>
      <c r="D91" s="182"/>
      <c r="E91" s="182"/>
      <c r="F91" s="182"/>
      <c r="G91" s="182"/>
      <c r="H91" s="194"/>
      <c r="I91" s="195" t="s">
        <v>122</v>
      </c>
      <c r="J91" s="111">
        <v>0</v>
      </c>
      <c r="K91" s="165" t="s">
        <v>51</v>
      </c>
      <c r="L91" s="143"/>
      <c r="M91" s="143"/>
    </row>
    <row r="92" spans="1:32" ht="24.75" customHeight="1">
      <c r="A92" s="144"/>
      <c r="B92" s="213"/>
      <c r="C92" s="182"/>
      <c r="D92" s="182"/>
      <c r="E92" s="182"/>
      <c r="F92" s="182"/>
      <c r="G92" s="196"/>
      <c r="H92" s="197"/>
      <c r="I92" s="197"/>
      <c r="J92" s="197"/>
      <c r="K92" s="197"/>
      <c r="L92" s="143"/>
      <c r="M92" s="143"/>
    </row>
    <row r="93" spans="1:32" ht="31.5" customHeight="1">
      <c r="A93" s="625" t="s">
        <v>129</v>
      </c>
      <c r="B93" s="626"/>
      <c r="C93" s="626"/>
      <c r="D93" s="626"/>
      <c r="E93" s="626"/>
      <c r="F93" s="626"/>
      <c r="G93" s="626"/>
      <c r="H93" s="626"/>
      <c r="I93" s="626"/>
      <c r="J93" s="626"/>
      <c r="K93" s="626"/>
      <c r="L93" s="627"/>
      <c r="M93" s="214">
        <f>SUM(M86,M79,M73,M68,M60,M54,M49,M41,M35,M29,M24,M17,M9,M6)</f>
        <v>1.2636000000000001</v>
      </c>
    </row>
    <row r="94" spans="1:32">
      <c r="B94" s="215">
        <f>SUM(B6:B92)</f>
        <v>100</v>
      </c>
    </row>
  </sheetData>
  <mergeCells count="53">
    <mergeCell ref="A1:M1"/>
    <mergeCell ref="A2:M2"/>
    <mergeCell ref="C4:G4"/>
    <mergeCell ref="H4:K5"/>
    <mergeCell ref="L4:L5"/>
    <mergeCell ref="H18:K18"/>
    <mergeCell ref="H19:K19"/>
    <mergeCell ref="H20:K20"/>
    <mergeCell ref="H21:K21"/>
    <mergeCell ref="H9:I10"/>
    <mergeCell ref="J9:K9"/>
    <mergeCell ref="H11:I11"/>
    <mergeCell ref="H13:I13"/>
    <mergeCell ref="H14:I14"/>
    <mergeCell ref="H15:I15"/>
    <mergeCell ref="H17:K17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25:K25"/>
    <mergeCell ref="H37:K37"/>
    <mergeCell ref="H38:K38"/>
    <mergeCell ref="H41:K41"/>
    <mergeCell ref="H42:K42"/>
    <mergeCell ref="H69:K69"/>
    <mergeCell ref="H48:K48"/>
    <mergeCell ref="H49:K49"/>
    <mergeCell ref="H50:K50"/>
    <mergeCell ref="H51:K51"/>
    <mergeCell ref="H53:K53"/>
    <mergeCell ref="H68:K68"/>
    <mergeCell ref="H54:K54"/>
    <mergeCell ref="H55:K55"/>
    <mergeCell ref="H60:K60"/>
    <mergeCell ref="H61:K61"/>
    <mergeCell ref="H62:K62"/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</mergeCells>
  <printOptions horizontalCentered="1"/>
  <pageMargins left="0.27559055118110237" right="0.19685039370078741" top="0.55118110236220474" bottom="0.27559055118110237" header="0.19685039370078741" footer="0.47244094488188981"/>
  <pageSetup paperSize="9" scale="80" orientation="landscape" r:id="rId1"/>
  <headerFooter scaleWithDoc="0">
    <oddHeader>&amp;R&amp;"TH SarabunIT๙,ธรรมดา"&amp;16&amp;P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M43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/>
  <cols>
    <col min="1" max="1" width="4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65.28515625" style="292" bestFit="1" customWidth="1"/>
    <col min="16" max="16" width="4.85546875" style="292" bestFit="1" customWidth="1"/>
    <col min="17" max="17" width="15.28515625" style="292" bestFit="1" customWidth="1"/>
    <col min="18" max="18" width="11.7109375" style="292" bestFit="1" customWidth="1"/>
    <col min="19" max="16384" width="9.140625" style="292"/>
  </cols>
  <sheetData>
    <row r="1" spans="1:13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13" ht="24" customHeight="1">
      <c r="A2" s="710" t="s">
        <v>322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13" ht="24" customHeight="1">
      <c r="A3" s="293" t="s">
        <v>256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13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</row>
    <row r="5" spans="1:13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34"/>
      <c r="I5" s="735"/>
      <c r="J5" s="735"/>
      <c r="K5" s="736"/>
      <c r="L5" s="719"/>
      <c r="M5" s="301" t="s">
        <v>9</v>
      </c>
    </row>
    <row r="6" spans="1:13" ht="23.2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726" t="s">
        <v>141</v>
      </c>
      <c r="I6" s="722"/>
      <c r="J6" s="722"/>
      <c r="K6" s="723"/>
      <c r="L6" s="304">
        <v>1</v>
      </c>
      <c r="M6" s="305">
        <f>IF(L6=0,"-",ROUND(L6*B6/B$43,4))</f>
        <v>0.16669999999999999</v>
      </c>
    </row>
    <row r="7" spans="1:13" ht="23.25">
      <c r="A7" s="309" t="s">
        <v>44</v>
      </c>
      <c r="B7" s="399"/>
      <c r="C7" s="320"/>
      <c r="D7" s="320"/>
      <c r="E7" s="320"/>
      <c r="F7" s="320"/>
      <c r="G7" s="320"/>
      <c r="H7" s="720" t="s">
        <v>142</v>
      </c>
      <c r="I7" s="724"/>
      <c r="J7" s="724"/>
      <c r="K7" s="721"/>
      <c r="L7" s="307"/>
      <c r="M7" s="308"/>
    </row>
    <row r="8" spans="1:13" ht="23.25">
      <c r="A8" s="309"/>
      <c r="B8" s="399"/>
      <c r="C8" s="320"/>
      <c r="D8" s="320"/>
      <c r="E8" s="320"/>
      <c r="F8" s="320"/>
      <c r="G8" s="320"/>
      <c r="H8" s="720" t="s">
        <v>143</v>
      </c>
      <c r="I8" s="724"/>
      <c r="J8" s="724"/>
      <c r="K8" s="721"/>
      <c r="L8" s="307"/>
      <c r="M8" s="308"/>
    </row>
    <row r="9" spans="1:13" ht="23.25">
      <c r="A9" s="309"/>
      <c r="B9" s="399"/>
      <c r="C9" s="320"/>
      <c r="D9" s="320"/>
      <c r="E9" s="320"/>
      <c r="F9" s="320"/>
      <c r="G9" s="320"/>
      <c r="H9" s="720" t="s">
        <v>144</v>
      </c>
      <c r="I9" s="724"/>
      <c r="J9" s="724"/>
      <c r="K9" s="721"/>
      <c r="L9" s="307"/>
      <c r="M9" s="308"/>
    </row>
    <row r="10" spans="1:13" ht="23.25">
      <c r="A10" s="309"/>
      <c r="B10" s="399"/>
      <c r="C10" s="320"/>
      <c r="D10" s="320"/>
      <c r="E10" s="320"/>
      <c r="F10" s="320"/>
      <c r="G10" s="320"/>
      <c r="H10" s="720" t="s">
        <v>170</v>
      </c>
      <c r="I10" s="724"/>
      <c r="J10" s="724"/>
      <c r="K10" s="721"/>
      <c r="L10" s="307"/>
      <c r="M10" s="308"/>
    </row>
    <row r="11" spans="1:13" ht="23.25">
      <c r="A11" s="309"/>
      <c r="B11" s="399"/>
      <c r="C11" s="320"/>
      <c r="D11" s="320"/>
      <c r="E11" s="320"/>
      <c r="F11" s="320"/>
      <c r="G11" s="320"/>
      <c r="I11" s="323" t="s">
        <v>54</v>
      </c>
      <c r="J11" s="324" t="s">
        <v>11</v>
      </c>
      <c r="K11" s="532" t="s">
        <v>51</v>
      </c>
      <c r="L11" s="307"/>
      <c r="M11" s="308"/>
    </row>
    <row r="12" spans="1:13" ht="23.25">
      <c r="A12" s="325"/>
      <c r="B12" s="402"/>
      <c r="C12" s="310"/>
      <c r="D12" s="310"/>
      <c r="E12" s="310"/>
      <c r="F12" s="310"/>
      <c r="G12" s="310"/>
      <c r="H12" s="705" t="s">
        <v>212</v>
      </c>
      <c r="I12" s="706"/>
      <c r="J12" s="706"/>
      <c r="K12" s="707"/>
      <c r="L12" s="326"/>
      <c r="M12" s="299"/>
    </row>
    <row r="13" spans="1:13" ht="23.25">
      <c r="A13" s="302" t="s">
        <v>184</v>
      </c>
      <c r="B13" s="403">
        <v>4</v>
      </c>
      <c r="C13" s="332">
        <v>0.5</v>
      </c>
      <c r="D13" s="332">
        <v>0.75</v>
      </c>
      <c r="E13" s="332">
        <v>1</v>
      </c>
      <c r="F13" s="332">
        <v>1</v>
      </c>
      <c r="G13" s="332">
        <v>1</v>
      </c>
      <c r="H13" s="536" t="s">
        <v>152</v>
      </c>
      <c r="I13" s="533"/>
      <c r="J13" s="533"/>
      <c r="K13" s="534"/>
      <c r="L13" s="304">
        <v>5</v>
      </c>
      <c r="M13" s="305">
        <f>IF(L13=0,"-",ROUND(L13*B13/B$43,4))</f>
        <v>0.83330000000000004</v>
      </c>
    </row>
    <row r="14" spans="1:13" ht="23.25">
      <c r="A14" s="309" t="s">
        <v>151</v>
      </c>
      <c r="B14" s="406"/>
      <c r="C14" s="335"/>
      <c r="D14" s="335"/>
      <c r="E14" s="335"/>
      <c r="F14" s="335" t="s">
        <v>70</v>
      </c>
      <c r="G14" s="335" t="s">
        <v>70</v>
      </c>
      <c r="H14" s="535" t="s">
        <v>153</v>
      </c>
      <c r="I14" s="535"/>
      <c r="J14" s="535"/>
      <c r="K14" s="532"/>
      <c r="L14" s="307"/>
      <c r="M14" s="308"/>
    </row>
    <row r="15" spans="1:13" ht="23.25">
      <c r="A15" s="309"/>
      <c r="B15" s="406"/>
      <c r="C15" s="335"/>
      <c r="D15" s="335"/>
      <c r="E15" s="335"/>
      <c r="F15" s="335" t="s">
        <v>137</v>
      </c>
      <c r="G15" s="335" t="s">
        <v>138</v>
      </c>
      <c r="H15" s="535" t="s">
        <v>180</v>
      </c>
      <c r="I15" s="535"/>
      <c r="J15" s="535"/>
      <c r="K15" s="532"/>
      <c r="L15" s="307"/>
      <c r="M15" s="308"/>
    </row>
    <row r="16" spans="1:13" ht="23.25">
      <c r="A16" s="309"/>
      <c r="B16" s="406"/>
      <c r="C16" s="336"/>
      <c r="D16" s="336"/>
      <c r="E16" s="336"/>
      <c r="F16" s="336"/>
      <c r="G16" s="390"/>
      <c r="H16" s="531"/>
      <c r="I16" s="323" t="s">
        <v>56</v>
      </c>
      <c r="J16" s="324">
        <v>100</v>
      </c>
      <c r="K16" s="532" t="s">
        <v>51</v>
      </c>
      <c r="L16" s="307"/>
      <c r="M16" s="308"/>
    </row>
    <row r="17" spans="1:13" ht="23.25">
      <c r="A17" s="325"/>
      <c r="B17" s="359"/>
      <c r="C17" s="310"/>
      <c r="D17" s="310"/>
      <c r="E17" s="310"/>
      <c r="F17" s="310"/>
      <c r="G17" s="310"/>
      <c r="H17" s="527"/>
      <c r="I17" s="528"/>
      <c r="J17" s="528"/>
      <c r="K17" s="529"/>
      <c r="L17" s="326"/>
      <c r="M17" s="299"/>
    </row>
    <row r="18" spans="1:13" ht="23.25">
      <c r="A18" s="339" t="s">
        <v>190</v>
      </c>
      <c r="B18" s="407">
        <v>4</v>
      </c>
      <c r="C18" s="340">
        <v>0.65</v>
      </c>
      <c r="D18" s="340">
        <v>0.7</v>
      </c>
      <c r="E18" s="340">
        <v>0.75</v>
      </c>
      <c r="F18" s="340">
        <v>0.8</v>
      </c>
      <c r="G18" s="340">
        <v>0.85</v>
      </c>
      <c r="H18" s="536" t="s">
        <v>156</v>
      </c>
      <c r="I18" s="533"/>
      <c r="J18" s="533"/>
      <c r="K18" s="534"/>
      <c r="L18" s="304">
        <v>1</v>
      </c>
      <c r="M18" s="305">
        <f>IF(L18=0,"-",ROUND(L18*B18/B$43,4))</f>
        <v>0.16669999999999999</v>
      </c>
    </row>
    <row r="19" spans="1:13" ht="23.25">
      <c r="A19" s="309" t="s">
        <v>145</v>
      </c>
      <c r="B19" s="352"/>
      <c r="C19" s="320"/>
      <c r="D19" s="320"/>
      <c r="E19" s="320"/>
      <c r="F19" s="320"/>
      <c r="G19" s="320"/>
      <c r="H19" s="531" t="s">
        <v>104</v>
      </c>
      <c r="I19" s="535"/>
      <c r="J19" s="535"/>
      <c r="K19" s="532"/>
      <c r="L19" s="307"/>
      <c r="M19" s="308"/>
    </row>
    <row r="20" spans="1:13" ht="23.25">
      <c r="A20" s="389" t="s">
        <v>155</v>
      </c>
      <c r="B20" s="352"/>
      <c r="C20" s="320"/>
      <c r="D20" s="320"/>
      <c r="E20" s="320"/>
      <c r="F20" s="320"/>
      <c r="G20" s="320"/>
      <c r="H20" s="531" t="s">
        <v>105</v>
      </c>
      <c r="I20" s="535"/>
      <c r="J20" s="535"/>
      <c r="K20" s="532"/>
      <c r="L20" s="307"/>
      <c r="M20" s="308"/>
    </row>
    <row r="21" spans="1:13" ht="23.25">
      <c r="A21" s="309"/>
      <c r="B21" s="352"/>
      <c r="C21" s="320"/>
      <c r="D21" s="320"/>
      <c r="E21" s="320"/>
      <c r="F21" s="320"/>
      <c r="G21" s="320"/>
      <c r="H21" s="341"/>
      <c r="I21" s="342" t="s">
        <v>113</v>
      </c>
      <c r="J21" s="343" t="s">
        <v>11</v>
      </c>
      <c r="K21" s="532" t="s">
        <v>51</v>
      </c>
      <c r="L21" s="307"/>
      <c r="M21" s="308"/>
    </row>
    <row r="22" spans="1:13" ht="23.25">
      <c r="A22" s="325"/>
      <c r="B22" s="359"/>
      <c r="C22" s="310"/>
      <c r="D22" s="310"/>
      <c r="E22" s="310"/>
      <c r="F22" s="310"/>
      <c r="G22" s="416"/>
      <c r="H22" s="705" t="s">
        <v>211</v>
      </c>
      <c r="I22" s="706"/>
      <c r="J22" s="706"/>
      <c r="K22" s="707"/>
      <c r="L22" s="326"/>
      <c r="M22" s="299"/>
    </row>
    <row r="23" spans="1:13" ht="23.25">
      <c r="A23" s="302" t="s">
        <v>106</v>
      </c>
      <c r="B23" s="407">
        <v>4</v>
      </c>
      <c r="C23" s="346" t="s">
        <v>29</v>
      </c>
      <c r="D23" s="346" t="s">
        <v>30</v>
      </c>
      <c r="E23" s="346" t="s">
        <v>31</v>
      </c>
      <c r="F23" s="346" t="s">
        <v>32</v>
      </c>
      <c r="G23" s="346" t="s">
        <v>33</v>
      </c>
      <c r="H23" s="536" t="s">
        <v>108</v>
      </c>
      <c r="I23" s="533"/>
      <c r="J23" s="533"/>
      <c r="K23" s="534"/>
      <c r="L23" s="304">
        <v>4</v>
      </c>
      <c r="M23" s="305">
        <f>IF(L23=0,"-",ROUND(L23*B23/B$43,4))</f>
        <v>0.66669999999999996</v>
      </c>
    </row>
    <row r="24" spans="1:13" ht="23.25">
      <c r="A24" s="309" t="s">
        <v>107</v>
      </c>
      <c r="B24" s="352"/>
      <c r="C24" s="348">
        <v>1.5</v>
      </c>
      <c r="D24" s="348">
        <v>2</v>
      </c>
      <c r="E24" s="348">
        <v>2.5</v>
      </c>
      <c r="F24" s="348">
        <v>3</v>
      </c>
      <c r="G24" s="348">
        <v>5</v>
      </c>
      <c r="H24" s="531" t="s">
        <v>146</v>
      </c>
      <c r="I24" s="535"/>
      <c r="J24" s="535"/>
      <c r="K24" s="532"/>
      <c r="L24" s="307"/>
      <c r="M24" s="308"/>
    </row>
    <row r="25" spans="1:13" ht="23.25">
      <c r="A25" s="309"/>
      <c r="B25" s="352"/>
      <c r="C25" s="344"/>
      <c r="D25" s="344"/>
      <c r="E25" s="344"/>
      <c r="F25" s="344"/>
      <c r="G25" s="344"/>
      <c r="H25" s="531" t="s">
        <v>110</v>
      </c>
      <c r="I25" s="535"/>
      <c r="J25" s="535"/>
      <c r="K25" s="532"/>
      <c r="L25" s="307"/>
      <c r="M25" s="308"/>
    </row>
    <row r="26" spans="1:13" ht="23.25">
      <c r="A26" s="309"/>
      <c r="B26" s="352"/>
      <c r="C26" s="344"/>
      <c r="D26" s="344"/>
      <c r="E26" s="344"/>
      <c r="F26" s="344"/>
      <c r="G26" s="344"/>
      <c r="H26" s="531" t="s">
        <v>191</v>
      </c>
      <c r="I26" s="535"/>
      <c r="J26" s="535"/>
      <c r="K26" s="532"/>
      <c r="L26" s="307"/>
      <c r="M26" s="308"/>
    </row>
    <row r="27" spans="1:13" ht="23.25">
      <c r="A27" s="309"/>
      <c r="B27" s="352"/>
      <c r="C27" s="344"/>
      <c r="D27" s="344"/>
      <c r="E27" s="344"/>
      <c r="F27" s="344"/>
      <c r="G27" s="344"/>
      <c r="H27" s="531"/>
      <c r="I27" s="323" t="s">
        <v>112</v>
      </c>
      <c r="J27" s="324">
        <v>3</v>
      </c>
      <c r="K27" s="382"/>
      <c r="L27" s="307"/>
      <c r="M27" s="308"/>
    </row>
    <row r="28" spans="1:13" ht="23.25">
      <c r="A28" s="325"/>
      <c r="B28" s="359"/>
      <c r="C28" s="310"/>
      <c r="D28" s="310"/>
      <c r="E28" s="310"/>
      <c r="F28" s="310"/>
      <c r="G28" s="310"/>
      <c r="H28" s="705"/>
      <c r="I28" s="706"/>
      <c r="J28" s="706"/>
      <c r="K28" s="707"/>
      <c r="L28" s="326"/>
      <c r="M28" s="299"/>
    </row>
    <row r="29" spans="1:13" ht="23.25">
      <c r="A29" s="350" t="s">
        <v>132</v>
      </c>
      <c r="B29" s="407">
        <v>4</v>
      </c>
      <c r="C29" s="340">
        <v>0.1</v>
      </c>
      <c r="D29" s="340">
        <v>0.3</v>
      </c>
      <c r="E29" s="340">
        <v>0.5</v>
      </c>
      <c r="F29" s="340">
        <v>0.7</v>
      </c>
      <c r="G29" s="340">
        <v>1</v>
      </c>
      <c r="H29" s="536" t="s">
        <v>123</v>
      </c>
      <c r="I29" s="533"/>
      <c r="J29" s="533"/>
      <c r="K29" s="534"/>
      <c r="L29" s="304">
        <v>5</v>
      </c>
      <c r="M29" s="305">
        <f>IF(L29=0,"-",ROUND(L29*B29/B$43,4))</f>
        <v>0.83330000000000004</v>
      </c>
    </row>
    <row r="30" spans="1:13" ht="23.25">
      <c r="A30" s="351" t="s">
        <v>192</v>
      </c>
      <c r="B30" s="352"/>
      <c r="C30" s="320"/>
      <c r="D30" s="320"/>
      <c r="E30" s="320"/>
      <c r="F30" s="320"/>
      <c r="G30" s="311"/>
      <c r="H30" s="531" t="s">
        <v>124</v>
      </c>
      <c r="I30" s="322"/>
      <c r="J30" s="353"/>
      <c r="K30" s="354"/>
      <c r="L30" s="355"/>
      <c r="M30" s="308"/>
    </row>
    <row r="31" spans="1:13" ht="23.25">
      <c r="A31" s="351"/>
      <c r="B31" s="352"/>
      <c r="C31" s="320"/>
      <c r="D31" s="320"/>
      <c r="E31" s="320"/>
      <c r="F31" s="320"/>
      <c r="G31" s="320"/>
      <c r="H31" s="535" t="s">
        <v>125</v>
      </c>
      <c r="I31" s="322"/>
      <c r="J31" s="353"/>
      <c r="K31" s="354"/>
      <c r="L31" s="355"/>
      <c r="M31" s="308"/>
    </row>
    <row r="32" spans="1:13" ht="23.25">
      <c r="A32" s="351"/>
      <c r="B32" s="352"/>
      <c r="C32" s="320"/>
      <c r="D32" s="320"/>
      <c r="E32" s="320"/>
      <c r="F32" s="320"/>
      <c r="G32" s="320"/>
      <c r="H32" s="531" t="s">
        <v>126</v>
      </c>
      <c r="I32" s="322"/>
      <c r="J32" s="353"/>
      <c r="K32" s="354"/>
      <c r="L32" s="355"/>
      <c r="M32" s="308"/>
    </row>
    <row r="33" spans="1:13" ht="23.25">
      <c r="A33" s="351"/>
      <c r="B33" s="352"/>
      <c r="C33" s="320"/>
      <c r="D33" s="320"/>
      <c r="E33" s="320"/>
      <c r="F33" s="320"/>
      <c r="G33" s="320"/>
      <c r="H33" s="531" t="s">
        <v>127</v>
      </c>
      <c r="I33" s="322"/>
      <c r="J33" s="353"/>
      <c r="K33" s="354"/>
      <c r="L33" s="355"/>
      <c r="M33" s="308"/>
    </row>
    <row r="34" spans="1:13" ht="23.25">
      <c r="A34" s="351"/>
      <c r="B34" s="352"/>
      <c r="C34" s="320"/>
      <c r="D34" s="320"/>
      <c r="E34" s="320"/>
      <c r="F34" s="320"/>
      <c r="G34" s="320"/>
      <c r="H34" s="531"/>
      <c r="I34" s="323" t="s">
        <v>114</v>
      </c>
      <c r="J34" s="408">
        <v>100</v>
      </c>
      <c r="K34" s="382" t="s">
        <v>51</v>
      </c>
      <c r="L34" s="355"/>
      <c r="M34" s="308"/>
    </row>
    <row r="35" spans="1:13" ht="23.25">
      <c r="A35" s="358"/>
      <c r="B35" s="359"/>
      <c r="C35" s="310"/>
      <c r="D35" s="310"/>
      <c r="E35" s="310"/>
      <c r="F35" s="310"/>
      <c r="G35" s="310"/>
      <c r="H35" s="330"/>
      <c r="I35" s="427"/>
      <c r="J35" s="427"/>
      <c r="K35" s="428"/>
      <c r="L35" s="360"/>
      <c r="M35" s="299"/>
    </row>
    <row r="36" spans="1:13" ht="23.25">
      <c r="A36" s="351" t="s">
        <v>316</v>
      </c>
      <c r="B36" s="543">
        <v>4</v>
      </c>
      <c r="C36" s="544">
        <v>0.4</v>
      </c>
      <c r="D36" s="544">
        <v>0.45</v>
      </c>
      <c r="E36" s="544">
        <v>0.5</v>
      </c>
      <c r="F36" s="544">
        <v>0.55000000000000004</v>
      </c>
      <c r="G36" s="544">
        <v>0.6</v>
      </c>
      <c r="H36" s="531" t="s">
        <v>317</v>
      </c>
      <c r="I36" s="345"/>
      <c r="J36" s="545"/>
      <c r="K36" s="546"/>
      <c r="L36" s="413">
        <v>4</v>
      </c>
      <c r="M36" s="305">
        <f>IF(L36=0,"-",ROUND(L36*B36/B$43,4))</f>
        <v>0.66669999999999996</v>
      </c>
    </row>
    <row r="37" spans="1:13" ht="23.25">
      <c r="A37" s="351" t="s">
        <v>318</v>
      </c>
      <c r="B37" s="406"/>
      <c r="C37" s="311"/>
      <c r="D37" s="311"/>
      <c r="E37" s="311"/>
      <c r="F37" s="311"/>
      <c r="G37" s="333"/>
      <c r="H37" s="531" t="s">
        <v>319</v>
      </c>
      <c r="I37" s="345"/>
      <c r="J37" s="545"/>
      <c r="K37" s="546"/>
      <c r="L37" s="413"/>
      <c r="M37" s="308"/>
    </row>
    <row r="38" spans="1:13" ht="23.25">
      <c r="A38" s="351"/>
      <c r="B38" s="406"/>
      <c r="C38" s="311"/>
      <c r="D38" s="311"/>
      <c r="E38" s="311"/>
      <c r="F38" s="311"/>
      <c r="G38" s="333"/>
      <c r="H38" s="531"/>
      <c r="I38" s="345"/>
      <c r="J38" s="545"/>
      <c r="K38" s="546"/>
      <c r="L38" s="413"/>
      <c r="M38" s="308"/>
    </row>
    <row r="39" spans="1:13" ht="23.25">
      <c r="A39" s="351"/>
      <c r="B39" s="406"/>
      <c r="C39" s="311"/>
      <c r="D39" s="311"/>
      <c r="E39" s="311"/>
      <c r="F39" s="311"/>
      <c r="G39" s="333"/>
      <c r="H39" s="531"/>
      <c r="I39" s="345" t="s">
        <v>174</v>
      </c>
      <c r="J39" s="547">
        <v>55</v>
      </c>
      <c r="K39" s="414" t="s">
        <v>51</v>
      </c>
      <c r="L39" s="413"/>
      <c r="M39" s="308"/>
    </row>
    <row r="40" spans="1:13" ht="23.25">
      <c r="A40" s="351"/>
      <c r="B40" s="406"/>
      <c r="C40" s="311"/>
      <c r="D40" s="311"/>
      <c r="E40" s="311"/>
      <c r="F40" s="311"/>
      <c r="G40" s="333"/>
      <c r="H40" s="531"/>
      <c r="I40" s="345"/>
      <c r="J40" s="545"/>
      <c r="K40" s="546"/>
      <c r="L40" s="413"/>
      <c r="M40" s="308"/>
    </row>
    <row r="41" spans="1:13" ht="23.25">
      <c r="A41" s="351"/>
      <c r="B41" s="406"/>
      <c r="C41" s="311"/>
      <c r="D41" s="311"/>
      <c r="E41" s="311"/>
      <c r="F41" s="311"/>
      <c r="G41" s="333"/>
      <c r="H41" s="531"/>
      <c r="I41" s="345"/>
      <c r="J41" s="545"/>
      <c r="K41" s="546"/>
      <c r="L41" s="413"/>
      <c r="M41" s="308"/>
    </row>
    <row r="42" spans="1:13" ht="23.25">
      <c r="A42" s="358"/>
      <c r="B42" s="415"/>
      <c r="C42" s="412"/>
      <c r="D42" s="412"/>
      <c r="E42" s="412"/>
      <c r="F42" s="412"/>
      <c r="G42" s="416"/>
      <c r="H42" s="538"/>
      <c r="I42" s="345"/>
      <c r="J42" s="545"/>
      <c r="K42" s="417"/>
      <c r="L42" s="413"/>
      <c r="M42" s="308"/>
    </row>
    <row r="43" spans="1:13" ht="26.25">
      <c r="A43" s="363"/>
      <c r="B43" s="409">
        <f>ROUND(SUM(B6:B42),1)</f>
        <v>24</v>
      </c>
      <c r="C43" s="364"/>
      <c r="D43" s="364"/>
      <c r="E43" s="364"/>
      <c r="F43" s="364"/>
      <c r="G43" s="365"/>
      <c r="H43" s="364"/>
      <c r="I43" s="364"/>
      <c r="J43" s="364"/>
      <c r="K43" s="364"/>
      <c r="L43" s="366" t="s">
        <v>139</v>
      </c>
      <c r="M43" s="410">
        <f>(SUM(M6:M42))</f>
        <v>3.3334000000000001</v>
      </c>
    </row>
  </sheetData>
  <mergeCells count="13">
    <mergeCell ref="H6:K6"/>
    <mergeCell ref="A1:M1"/>
    <mergeCell ref="A2:M2"/>
    <mergeCell ref="C4:G4"/>
    <mergeCell ref="H4:K5"/>
    <mergeCell ref="L4:L5"/>
    <mergeCell ref="H28:K28"/>
    <mergeCell ref="H7:K7"/>
    <mergeCell ref="H8:K8"/>
    <mergeCell ref="H9:K9"/>
    <mergeCell ref="H10:K10"/>
    <mergeCell ref="H12:K12"/>
    <mergeCell ref="H22:K22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1" manualBreakCount="1">
    <brk id="22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8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5" width="9.140625" style="292"/>
    <col min="16" max="16" width="65.42578125" style="292" bestFit="1" customWidth="1"/>
    <col min="17" max="17" width="10.85546875" style="292" bestFit="1" customWidth="1"/>
    <col min="18" max="18" width="14.42578125" style="292" customWidth="1"/>
    <col min="19" max="16384" width="9.140625" style="292"/>
  </cols>
  <sheetData>
    <row r="1" spans="1:20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20" ht="24" customHeight="1">
      <c r="A2" s="710" t="s">
        <v>323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20" ht="24" customHeight="1">
      <c r="A3" s="293" t="s">
        <v>312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0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</row>
    <row r="5" spans="1:20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719"/>
      <c r="M5" s="301" t="s">
        <v>9</v>
      </c>
    </row>
    <row r="6" spans="1:20" ht="24" customHeight="1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726" t="s">
        <v>141</v>
      </c>
      <c r="I6" s="722"/>
      <c r="J6" s="722"/>
      <c r="K6" s="723"/>
      <c r="L6" s="304">
        <v>1</v>
      </c>
      <c r="M6" s="305">
        <f>IF(L6=0,"-",ROUND(L6*B6/B$78,4))</f>
        <v>6.6699999999999995E-2</v>
      </c>
      <c r="N6" s="487" t="s">
        <v>237</v>
      </c>
    </row>
    <row r="7" spans="1:20" ht="24" customHeight="1">
      <c r="A7" s="309" t="s">
        <v>44</v>
      </c>
      <c r="B7" s="399"/>
      <c r="C7" s="320"/>
      <c r="D7" s="320"/>
      <c r="E7" s="320"/>
      <c r="F7" s="320"/>
      <c r="G7" s="320"/>
      <c r="H7" s="720" t="s">
        <v>142</v>
      </c>
      <c r="I7" s="724"/>
      <c r="J7" s="724"/>
      <c r="K7" s="721"/>
      <c r="L7" s="307"/>
      <c r="M7" s="308"/>
    </row>
    <row r="8" spans="1:20" ht="24" customHeight="1">
      <c r="A8" s="309"/>
      <c r="B8" s="399"/>
      <c r="C8" s="320"/>
      <c r="D8" s="320"/>
      <c r="E8" s="320"/>
      <c r="F8" s="320"/>
      <c r="G8" s="320"/>
      <c r="H8" s="720" t="s">
        <v>143</v>
      </c>
      <c r="I8" s="724"/>
      <c r="J8" s="724"/>
      <c r="K8" s="721"/>
      <c r="L8" s="307"/>
      <c r="M8" s="308"/>
    </row>
    <row r="9" spans="1:20" ht="24" customHeight="1">
      <c r="A9" s="309"/>
      <c r="B9" s="399"/>
      <c r="C9" s="320"/>
      <c r="D9" s="320"/>
      <c r="E9" s="320"/>
      <c r="F9" s="320"/>
      <c r="G9" s="320"/>
      <c r="H9" s="720" t="s">
        <v>144</v>
      </c>
      <c r="I9" s="724"/>
      <c r="J9" s="724"/>
      <c r="K9" s="721"/>
      <c r="L9" s="307"/>
      <c r="M9" s="308"/>
    </row>
    <row r="10" spans="1:20" ht="24" customHeight="1">
      <c r="A10" s="309"/>
      <c r="B10" s="399"/>
      <c r="C10" s="320"/>
      <c r="D10" s="320"/>
      <c r="E10" s="320"/>
      <c r="F10" s="320"/>
      <c r="G10" s="320"/>
      <c r="H10" s="720" t="s">
        <v>170</v>
      </c>
      <c r="I10" s="724"/>
      <c r="J10" s="724"/>
      <c r="K10" s="721"/>
      <c r="L10" s="307"/>
      <c r="M10" s="308"/>
    </row>
    <row r="11" spans="1:20" ht="24" customHeight="1">
      <c r="A11" s="309"/>
      <c r="B11" s="399"/>
      <c r="C11" s="320"/>
      <c r="D11" s="320"/>
      <c r="E11" s="320"/>
      <c r="F11" s="320"/>
      <c r="G11" s="320"/>
      <c r="I11" s="323" t="s">
        <v>54</v>
      </c>
      <c r="J11" s="324" t="s">
        <v>11</v>
      </c>
      <c r="K11" s="532" t="s">
        <v>51</v>
      </c>
      <c r="L11" s="307"/>
      <c r="M11" s="308"/>
    </row>
    <row r="12" spans="1:20" ht="24" customHeight="1">
      <c r="A12" s="325"/>
      <c r="B12" s="402"/>
      <c r="C12" s="310"/>
      <c r="D12" s="310"/>
      <c r="E12" s="310"/>
      <c r="F12" s="310"/>
      <c r="G12" s="310"/>
      <c r="H12" s="705" t="s">
        <v>212</v>
      </c>
      <c r="I12" s="706"/>
      <c r="J12" s="706"/>
      <c r="K12" s="707"/>
      <c r="L12" s="326"/>
      <c r="M12" s="299"/>
      <c r="P12" s="530" t="s">
        <v>324</v>
      </c>
      <c r="Q12" s="530" t="s">
        <v>240</v>
      </c>
    </row>
    <row r="13" spans="1:20" ht="24" customHeight="1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722" t="s">
        <v>171</v>
      </c>
      <c r="I13" s="722"/>
      <c r="J13" s="722"/>
      <c r="K13" s="723"/>
      <c r="L13" s="304">
        <v>1</v>
      </c>
      <c r="M13" s="305">
        <f>IF(L13=0,"-",ROUND(L13*B13/B$78,4))</f>
        <v>0.2</v>
      </c>
      <c r="N13" s="429" t="s">
        <v>199</v>
      </c>
      <c r="O13" s="504">
        <v>1</v>
      </c>
      <c r="P13" s="551">
        <v>952730701</v>
      </c>
      <c r="Q13" s="552">
        <v>14.04</v>
      </c>
      <c r="R13" s="509" t="s">
        <v>241</v>
      </c>
      <c r="S13" s="537"/>
      <c r="T13" s="298"/>
    </row>
    <row r="14" spans="1:20" ht="24" customHeight="1">
      <c r="A14" s="309" t="s">
        <v>21</v>
      </c>
      <c r="B14" s="352"/>
      <c r="C14" s="320"/>
      <c r="D14" s="320"/>
      <c r="E14" s="320"/>
      <c r="F14" s="320"/>
      <c r="G14" s="320"/>
      <c r="H14" s="720" t="s">
        <v>83</v>
      </c>
      <c r="I14" s="724"/>
      <c r="J14" s="724"/>
      <c r="K14" s="721"/>
      <c r="L14" s="307"/>
      <c r="M14" s="308"/>
      <c r="N14" s="487" t="s">
        <v>237</v>
      </c>
    </row>
    <row r="15" spans="1:20" ht="24" customHeight="1">
      <c r="A15" s="309"/>
      <c r="B15" s="352"/>
      <c r="C15" s="320"/>
      <c r="D15" s="320"/>
      <c r="E15" s="320"/>
      <c r="F15" s="320"/>
      <c r="G15" s="320"/>
      <c r="H15" s="720" t="s">
        <v>172</v>
      </c>
      <c r="I15" s="724"/>
      <c r="J15" s="724"/>
      <c r="K15" s="721"/>
      <c r="L15" s="307"/>
      <c r="M15" s="308"/>
    </row>
    <row r="16" spans="1:20" ht="24" customHeight="1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32"/>
      <c r="L16" s="307"/>
      <c r="M16" s="308"/>
    </row>
    <row r="17" spans="1:20" ht="24" customHeight="1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32"/>
      <c r="L17" s="307"/>
      <c r="M17" s="308"/>
    </row>
    <row r="18" spans="1:20" ht="24" customHeight="1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328">
        <f>Q13</f>
        <v>14.04</v>
      </c>
      <c r="K18" s="532" t="s">
        <v>51</v>
      </c>
      <c r="L18" s="307"/>
      <c r="M18" s="308"/>
    </row>
    <row r="19" spans="1:20" ht="24" customHeight="1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</row>
    <row r="20" spans="1:20" ht="24" customHeight="1">
      <c r="A20" s="302" t="s">
        <v>179</v>
      </c>
      <c r="B20" s="403">
        <v>4</v>
      </c>
      <c r="C20" s="332">
        <v>0.5</v>
      </c>
      <c r="D20" s="332">
        <v>0.75</v>
      </c>
      <c r="E20" s="332">
        <v>1</v>
      </c>
      <c r="F20" s="332">
        <v>1</v>
      </c>
      <c r="G20" s="332">
        <v>1</v>
      </c>
      <c r="H20" s="726" t="s">
        <v>57</v>
      </c>
      <c r="I20" s="722"/>
      <c r="J20" s="722"/>
      <c r="K20" s="723"/>
      <c r="L20" s="304">
        <v>1</v>
      </c>
      <c r="M20" s="305">
        <f>IF(L20=0,"-",ROUND(L20*B20/B$78,4))</f>
        <v>6.6699999999999995E-2</v>
      </c>
      <c r="N20" s="429" t="s">
        <v>199</v>
      </c>
      <c r="O20" s="459" t="s">
        <v>233</v>
      </c>
      <c r="P20" s="460" t="s">
        <v>234</v>
      </c>
      <c r="Q20" s="553" t="s">
        <v>235</v>
      </c>
      <c r="R20" s="553" t="s">
        <v>216</v>
      </c>
      <c r="S20" s="554" t="s">
        <v>51</v>
      </c>
    </row>
    <row r="21" spans="1:20" ht="24" customHeight="1">
      <c r="A21" s="309" t="s">
        <v>23</v>
      </c>
      <c r="B21" s="352"/>
      <c r="C21" s="320"/>
      <c r="D21" s="320"/>
      <c r="E21" s="320"/>
      <c r="F21" s="335" t="s">
        <v>70</v>
      </c>
      <c r="G21" s="335" t="s">
        <v>70</v>
      </c>
      <c r="H21" s="531" t="s">
        <v>58</v>
      </c>
      <c r="I21" s="535"/>
      <c r="J21" s="535"/>
      <c r="K21" s="532"/>
      <c r="L21" s="307"/>
      <c r="M21" s="308"/>
      <c r="N21" s="487" t="s">
        <v>237</v>
      </c>
      <c r="O21" s="462">
        <v>1</v>
      </c>
      <c r="P21" s="463" t="s">
        <v>272</v>
      </c>
      <c r="Q21" s="464">
        <v>350000</v>
      </c>
      <c r="R21" s="472">
        <v>82420</v>
      </c>
      <c r="S21" s="436">
        <f>R21*100/Q21</f>
        <v>23.548571428571428</v>
      </c>
      <c r="T21" s="292" t="s">
        <v>51</v>
      </c>
    </row>
    <row r="22" spans="1:20" ht="24" customHeight="1">
      <c r="A22" s="309" t="s">
        <v>24</v>
      </c>
      <c r="B22" s="352"/>
      <c r="C22" s="320"/>
      <c r="D22" s="320"/>
      <c r="E22" s="320"/>
      <c r="F22" s="335" t="s">
        <v>137</v>
      </c>
      <c r="G22" s="335" t="s">
        <v>138</v>
      </c>
      <c r="H22" s="531" t="s">
        <v>147</v>
      </c>
      <c r="I22" s="535"/>
      <c r="J22" s="535"/>
      <c r="K22" s="532"/>
      <c r="L22" s="307"/>
      <c r="M22" s="308"/>
    </row>
    <row r="23" spans="1:20" ht="24" customHeight="1">
      <c r="A23" s="309"/>
      <c r="B23" s="352"/>
      <c r="C23" s="320"/>
      <c r="D23" s="320"/>
      <c r="E23" s="320"/>
      <c r="F23" s="320"/>
      <c r="G23" s="320"/>
      <c r="H23" s="531" t="s">
        <v>180</v>
      </c>
      <c r="I23" s="535"/>
      <c r="J23" s="535"/>
      <c r="K23" s="532"/>
      <c r="L23" s="307"/>
      <c r="M23" s="308"/>
    </row>
    <row r="24" spans="1:20" ht="24" customHeight="1">
      <c r="A24" s="309"/>
      <c r="B24" s="352"/>
      <c r="C24" s="320"/>
      <c r="D24" s="320"/>
      <c r="E24" s="320"/>
      <c r="F24" s="320"/>
      <c r="G24" s="311"/>
      <c r="H24" s="531"/>
      <c r="I24" s="323" t="s">
        <v>56</v>
      </c>
      <c r="J24" s="324">
        <f>S21</f>
        <v>23.548571428571428</v>
      </c>
      <c r="K24" s="532" t="s">
        <v>51</v>
      </c>
      <c r="L24" s="307"/>
      <c r="M24" s="308"/>
    </row>
    <row r="25" spans="1:20" ht="24" customHeight="1">
      <c r="A25" s="325"/>
      <c r="B25" s="359"/>
      <c r="C25" s="310"/>
      <c r="D25" s="310"/>
      <c r="E25" s="310"/>
      <c r="F25" s="310"/>
      <c r="G25" s="310"/>
      <c r="H25" s="329"/>
      <c r="I25" s="427"/>
      <c r="J25" s="427"/>
      <c r="K25" s="428"/>
      <c r="L25" s="326"/>
      <c r="M25" s="299"/>
    </row>
    <row r="26" spans="1:20" ht="24" customHeight="1">
      <c r="A26" s="302" t="s">
        <v>183</v>
      </c>
      <c r="B26" s="403">
        <v>4</v>
      </c>
      <c r="C26" s="332">
        <v>0.8</v>
      </c>
      <c r="D26" s="332">
        <v>0.85</v>
      </c>
      <c r="E26" s="332">
        <v>0.9</v>
      </c>
      <c r="F26" s="332">
        <v>0.95</v>
      </c>
      <c r="G26" s="332">
        <v>1</v>
      </c>
      <c r="H26" s="386" t="s">
        <v>150</v>
      </c>
      <c r="I26" s="387"/>
      <c r="J26" s="387"/>
      <c r="K26" s="388"/>
      <c r="L26" s="304">
        <v>1</v>
      </c>
      <c r="M26" s="305">
        <f>IF(L26=0,"-",ROUND(L26*B26/B$78,4))</f>
        <v>6.6699999999999995E-2</v>
      </c>
      <c r="N26" s="429" t="s">
        <v>201</v>
      </c>
    </row>
    <row r="27" spans="1:20" ht="24" customHeight="1">
      <c r="A27" s="309" t="s">
        <v>28</v>
      </c>
      <c r="B27" s="352"/>
      <c r="C27" s="320"/>
      <c r="D27" s="320"/>
      <c r="E27" s="320"/>
      <c r="F27" s="320"/>
      <c r="G27" s="320"/>
      <c r="H27" s="531" t="s">
        <v>154</v>
      </c>
      <c r="I27" s="535"/>
      <c r="J27" s="535"/>
      <c r="K27" s="532"/>
      <c r="L27" s="307"/>
      <c r="M27" s="308"/>
    </row>
    <row r="28" spans="1:20" ht="24" customHeight="1">
      <c r="A28" s="309" t="s">
        <v>60</v>
      </c>
      <c r="B28" s="352"/>
      <c r="C28" s="320"/>
      <c r="D28" s="320"/>
      <c r="E28" s="320"/>
      <c r="F28" s="320"/>
      <c r="G28" s="320"/>
      <c r="H28" s="531" t="s">
        <v>64</v>
      </c>
      <c r="I28" s="535"/>
      <c r="J28" s="535"/>
      <c r="K28" s="532"/>
      <c r="L28" s="307"/>
      <c r="M28" s="308"/>
    </row>
    <row r="29" spans="1:20" ht="24" customHeight="1">
      <c r="A29" s="309"/>
      <c r="B29" s="352"/>
      <c r="C29" s="320"/>
      <c r="D29" s="320"/>
      <c r="E29" s="320"/>
      <c r="F29" s="320"/>
      <c r="G29" s="320"/>
      <c r="H29" s="380" t="s">
        <v>180</v>
      </c>
      <c r="I29" s="323"/>
      <c r="J29" s="322"/>
      <c r="K29" s="382"/>
      <c r="L29" s="307"/>
      <c r="M29" s="308"/>
    </row>
    <row r="30" spans="1:20" ht="24" customHeight="1">
      <c r="A30" s="309"/>
      <c r="B30" s="352"/>
      <c r="C30" s="320"/>
      <c r="D30" s="320"/>
      <c r="E30" s="320"/>
      <c r="F30" s="320"/>
      <c r="G30" s="320"/>
      <c r="H30" s="380"/>
      <c r="I30" s="323" t="s">
        <v>66</v>
      </c>
      <c r="J30" s="334">
        <v>10</v>
      </c>
      <c r="K30" s="382" t="s">
        <v>325</v>
      </c>
      <c r="L30" s="307"/>
      <c r="M30" s="308"/>
    </row>
    <row r="31" spans="1:20" ht="24" customHeight="1">
      <c r="A31" s="309"/>
      <c r="B31" s="352"/>
      <c r="C31" s="320"/>
      <c r="D31" s="320"/>
      <c r="E31" s="320"/>
      <c r="F31" s="320"/>
      <c r="G31" s="320"/>
      <c r="H31" s="380"/>
      <c r="I31" s="323" t="s">
        <v>66</v>
      </c>
      <c r="J31" s="334">
        <v>2</v>
      </c>
      <c r="K31" s="382" t="s">
        <v>326</v>
      </c>
      <c r="L31" s="307"/>
      <c r="M31" s="308"/>
    </row>
    <row r="32" spans="1:20" ht="24" customHeight="1">
      <c r="A32" s="309"/>
      <c r="B32" s="352"/>
      <c r="C32" s="320"/>
      <c r="D32" s="320"/>
      <c r="E32" s="320"/>
      <c r="F32" s="320"/>
      <c r="G32" s="320"/>
      <c r="H32" s="380"/>
      <c r="I32" s="323" t="s">
        <v>308</v>
      </c>
      <c r="J32" s="334">
        <v>2</v>
      </c>
      <c r="K32" s="382" t="s">
        <v>325</v>
      </c>
      <c r="L32" s="307"/>
      <c r="M32" s="308"/>
    </row>
    <row r="33" spans="1:16" ht="24" customHeight="1">
      <c r="A33" s="309"/>
      <c r="B33" s="352"/>
      <c r="C33" s="320"/>
      <c r="D33" s="320"/>
      <c r="E33" s="320"/>
      <c r="F33" s="320"/>
      <c r="G33" s="320"/>
      <c r="H33" s="531"/>
      <c r="I33" s="323" t="s">
        <v>67</v>
      </c>
      <c r="J33" s="334">
        <v>8</v>
      </c>
      <c r="K33" s="382" t="s">
        <v>61</v>
      </c>
      <c r="L33" s="307"/>
      <c r="M33" s="308"/>
    </row>
    <row r="34" spans="1:16" ht="24" customHeight="1">
      <c r="A34" s="325"/>
      <c r="B34" s="359"/>
      <c r="C34" s="310"/>
      <c r="D34" s="310"/>
      <c r="E34" s="310"/>
      <c r="F34" s="310"/>
      <c r="G34" s="310"/>
      <c r="H34" s="527"/>
      <c r="I34" s="323" t="s">
        <v>81</v>
      </c>
      <c r="J34" s="526">
        <f>(J33*100)/(J30+J31+J32)</f>
        <v>57.142857142857146</v>
      </c>
      <c r="K34" s="532" t="s">
        <v>51</v>
      </c>
      <c r="L34" s="326"/>
      <c r="M34" s="299"/>
    </row>
    <row r="35" spans="1:16" ht="24" customHeight="1">
      <c r="A35" s="302" t="s">
        <v>184</v>
      </c>
      <c r="B35" s="403">
        <v>4</v>
      </c>
      <c r="C35" s="332">
        <v>0.5</v>
      </c>
      <c r="D35" s="332">
        <v>0.75</v>
      </c>
      <c r="E35" s="332">
        <v>1</v>
      </c>
      <c r="F35" s="332">
        <v>1</v>
      </c>
      <c r="G35" s="332">
        <v>1</v>
      </c>
      <c r="H35" s="536" t="s">
        <v>152</v>
      </c>
      <c r="I35" s="533"/>
      <c r="J35" s="533"/>
      <c r="K35" s="534"/>
      <c r="L35" s="304">
        <v>2</v>
      </c>
      <c r="M35" s="305">
        <f>IF(L35=0,"-",ROUND(L35*B35/B$78,4))</f>
        <v>0.1333</v>
      </c>
    </row>
    <row r="36" spans="1:16" ht="24" customHeight="1">
      <c r="A36" s="309" t="s">
        <v>151</v>
      </c>
      <c r="B36" s="406"/>
      <c r="C36" s="335"/>
      <c r="D36" s="335"/>
      <c r="E36" s="335"/>
      <c r="F36" s="335" t="s">
        <v>70</v>
      </c>
      <c r="G36" s="335" t="s">
        <v>70</v>
      </c>
      <c r="H36" s="535" t="s">
        <v>153</v>
      </c>
      <c r="I36" s="535"/>
      <c r="J36" s="535"/>
      <c r="K36" s="532"/>
      <c r="L36" s="307"/>
      <c r="M36" s="308"/>
    </row>
    <row r="37" spans="1:16" ht="24" customHeight="1">
      <c r="A37" s="309"/>
      <c r="B37" s="406"/>
      <c r="C37" s="335"/>
      <c r="D37" s="335"/>
      <c r="E37" s="335"/>
      <c r="F37" s="335" t="s">
        <v>137</v>
      </c>
      <c r="G37" s="335" t="s">
        <v>138</v>
      </c>
      <c r="H37" s="535" t="s">
        <v>180</v>
      </c>
      <c r="I37" s="535"/>
      <c r="J37" s="535"/>
      <c r="K37" s="532"/>
      <c r="L37" s="307"/>
      <c r="M37" s="308"/>
    </row>
    <row r="38" spans="1:16" ht="24" customHeight="1">
      <c r="A38" s="309"/>
      <c r="B38" s="406"/>
      <c r="C38" s="336"/>
      <c r="D38" s="336"/>
      <c r="E38" s="336"/>
      <c r="F38" s="336"/>
      <c r="G38" s="390"/>
      <c r="H38" s="531"/>
      <c r="I38" s="323" t="s">
        <v>56</v>
      </c>
      <c r="J38" s="324">
        <v>75</v>
      </c>
      <c r="K38" s="532" t="s">
        <v>51</v>
      </c>
      <c r="L38" s="307"/>
      <c r="M38" s="308"/>
    </row>
    <row r="39" spans="1:16" ht="24" customHeight="1">
      <c r="A39" s="325"/>
      <c r="B39" s="359"/>
      <c r="C39" s="310"/>
      <c r="D39" s="310"/>
      <c r="E39" s="310"/>
      <c r="F39" s="310"/>
      <c r="G39" s="310"/>
      <c r="H39" s="527"/>
      <c r="I39" s="528"/>
      <c r="J39" s="528"/>
      <c r="K39" s="529"/>
      <c r="L39" s="326"/>
      <c r="M39" s="299"/>
    </row>
    <row r="40" spans="1:16" ht="24" customHeight="1">
      <c r="A40" s="302" t="s">
        <v>185</v>
      </c>
      <c r="B40" s="403">
        <v>12</v>
      </c>
      <c r="C40" s="332">
        <v>0.78</v>
      </c>
      <c r="D40" s="332">
        <v>0.81</v>
      </c>
      <c r="E40" s="332">
        <v>0.84</v>
      </c>
      <c r="F40" s="332">
        <v>0.87</v>
      </c>
      <c r="G40" s="332">
        <v>0.9</v>
      </c>
      <c r="H40" s="536" t="s">
        <v>186</v>
      </c>
      <c r="I40" s="533"/>
      <c r="J40" s="533"/>
      <c r="K40" s="534"/>
      <c r="L40" s="304">
        <v>1</v>
      </c>
      <c r="M40" s="305">
        <f>IF(L40=0,"-",ROUND(L40*B40/B$78,4))</f>
        <v>0.2</v>
      </c>
    </row>
    <row r="41" spans="1:16" ht="24" customHeight="1">
      <c r="A41" s="309" t="s">
        <v>85</v>
      </c>
      <c r="B41" s="352"/>
      <c r="C41" s="320"/>
      <c r="D41" s="320"/>
      <c r="E41" s="320"/>
      <c r="F41" s="320"/>
      <c r="G41" s="320"/>
      <c r="H41" s="531" t="s">
        <v>196</v>
      </c>
      <c r="I41" s="535"/>
      <c r="J41" s="535"/>
      <c r="K41" s="532"/>
      <c r="L41" s="307"/>
      <c r="M41" s="308"/>
    </row>
    <row r="42" spans="1:16" ht="24" customHeight="1">
      <c r="A42" s="309"/>
      <c r="B42" s="352"/>
      <c r="C42" s="320"/>
      <c r="D42" s="320"/>
      <c r="E42" s="320"/>
      <c r="F42" s="320"/>
      <c r="G42" s="320"/>
      <c r="H42" s="327"/>
      <c r="I42" s="327" t="s">
        <v>87</v>
      </c>
      <c r="J42" s="433">
        <v>958940000</v>
      </c>
      <c r="K42" s="532" t="s">
        <v>187</v>
      </c>
      <c r="L42" s="307"/>
      <c r="M42" s="308"/>
    </row>
    <row r="43" spans="1:16" ht="24" customHeight="1">
      <c r="A43" s="309"/>
      <c r="B43" s="352"/>
      <c r="C43" s="320"/>
      <c r="D43" s="320"/>
      <c r="E43" s="320"/>
      <c r="F43" s="320"/>
      <c r="G43" s="320"/>
      <c r="H43" s="327"/>
      <c r="I43" s="323" t="s">
        <v>188</v>
      </c>
      <c r="J43" s="434">
        <v>126700000</v>
      </c>
      <c r="K43" s="532" t="s">
        <v>187</v>
      </c>
      <c r="L43" s="307"/>
      <c r="M43" s="308"/>
    </row>
    <row r="44" spans="1:16" ht="24" customHeight="1">
      <c r="A44" s="309"/>
      <c r="B44" s="352"/>
      <c r="C44" s="320"/>
      <c r="D44" s="320"/>
      <c r="E44" s="320"/>
      <c r="F44" s="320"/>
      <c r="G44" s="320"/>
      <c r="H44" s="327"/>
      <c r="I44" s="323" t="s">
        <v>189</v>
      </c>
      <c r="J44" s="430">
        <f>J43*100/J42</f>
        <v>13.212505474795087</v>
      </c>
      <c r="K44" s="532" t="s">
        <v>51</v>
      </c>
      <c r="L44" s="307"/>
      <c r="M44" s="308"/>
    </row>
    <row r="45" spans="1:16" ht="24" customHeight="1">
      <c r="A45" s="325"/>
      <c r="B45" s="359"/>
      <c r="C45" s="310"/>
      <c r="D45" s="310"/>
      <c r="E45" s="310"/>
      <c r="F45" s="310"/>
      <c r="G45" s="310"/>
      <c r="H45" s="337"/>
      <c r="I45" s="427"/>
      <c r="J45" s="338"/>
      <c r="K45" s="428"/>
      <c r="L45" s="326"/>
      <c r="M45" s="299"/>
    </row>
    <row r="46" spans="1:16" ht="24" customHeight="1">
      <c r="A46" s="339" t="s">
        <v>190</v>
      </c>
      <c r="B46" s="407">
        <v>4</v>
      </c>
      <c r="C46" s="340">
        <v>0.65</v>
      </c>
      <c r="D46" s="340">
        <v>0.7</v>
      </c>
      <c r="E46" s="340">
        <v>0.75</v>
      </c>
      <c r="F46" s="340">
        <v>0.8</v>
      </c>
      <c r="G46" s="340">
        <v>0.85</v>
      </c>
      <c r="H46" s="536" t="s">
        <v>156</v>
      </c>
      <c r="I46" s="533"/>
      <c r="J46" s="533"/>
      <c r="K46" s="534"/>
      <c r="L46" s="304">
        <v>1</v>
      </c>
      <c r="M46" s="305">
        <f>IF(L46=0,"-",ROUND(L46*B46/B$78,4))</f>
        <v>6.6699999999999995E-2</v>
      </c>
      <c r="P46" s="347"/>
    </row>
    <row r="47" spans="1:16" ht="24" customHeight="1">
      <c r="A47" s="309" t="s">
        <v>145</v>
      </c>
      <c r="B47" s="352"/>
      <c r="C47" s="320"/>
      <c r="D47" s="320"/>
      <c r="E47" s="320"/>
      <c r="F47" s="320"/>
      <c r="G47" s="320"/>
      <c r="H47" s="531" t="s">
        <v>104</v>
      </c>
      <c r="I47" s="535"/>
      <c r="J47" s="535"/>
      <c r="K47" s="532"/>
      <c r="L47" s="307"/>
      <c r="M47" s="308"/>
    </row>
    <row r="48" spans="1:16" ht="24" customHeight="1">
      <c r="A48" s="389" t="s">
        <v>155</v>
      </c>
      <c r="B48" s="352"/>
      <c r="C48" s="320"/>
      <c r="D48" s="320"/>
      <c r="E48" s="320"/>
      <c r="F48" s="320"/>
      <c r="G48" s="320"/>
      <c r="H48" s="531" t="s">
        <v>105</v>
      </c>
      <c r="I48" s="535"/>
      <c r="J48" s="535"/>
      <c r="K48" s="532"/>
      <c r="L48" s="307"/>
      <c r="M48" s="308"/>
    </row>
    <row r="49" spans="1:32" ht="24" customHeight="1">
      <c r="A49" s="309"/>
      <c r="B49" s="352"/>
      <c r="C49" s="320"/>
      <c r="D49" s="320"/>
      <c r="E49" s="320"/>
      <c r="F49" s="320"/>
      <c r="G49" s="320"/>
      <c r="H49" s="341"/>
      <c r="I49" s="342" t="s">
        <v>113</v>
      </c>
      <c r="J49" s="343" t="s">
        <v>11</v>
      </c>
      <c r="K49" s="532" t="s">
        <v>51</v>
      </c>
      <c r="L49" s="307"/>
      <c r="M49" s="308"/>
    </row>
    <row r="50" spans="1:32" ht="24" customHeight="1">
      <c r="A50" s="325"/>
      <c r="B50" s="359"/>
      <c r="C50" s="310"/>
      <c r="D50" s="310"/>
      <c r="E50" s="310"/>
      <c r="F50" s="310"/>
      <c r="G50" s="416"/>
      <c r="H50" s="705" t="s">
        <v>211</v>
      </c>
      <c r="I50" s="706"/>
      <c r="J50" s="706"/>
      <c r="K50" s="707"/>
      <c r="L50" s="326"/>
      <c r="M50" s="299"/>
      <c r="R50" s="349"/>
    </row>
    <row r="51" spans="1:32" ht="24" customHeight="1">
      <c r="A51" s="302" t="s">
        <v>106</v>
      </c>
      <c r="B51" s="407">
        <v>4</v>
      </c>
      <c r="C51" s="346" t="s">
        <v>29</v>
      </c>
      <c r="D51" s="346" t="s">
        <v>30</v>
      </c>
      <c r="E51" s="346" t="s">
        <v>31</v>
      </c>
      <c r="F51" s="346" t="s">
        <v>32</v>
      </c>
      <c r="G51" s="346" t="s">
        <v>33</v>
      </c>
      <c r="H51" s="536" t="s">
        <v>108</v>
      </c>
      <c r="I51" s="533"/>
      <c r="J51" s="533"/>
      <c r="K51" s="534"/>
      <c r="L51" s="304">
        <v>2</v>
      </c>
      <c r="M51" s="305">
        <f>IF(L51=0,"-",ROUND(L51*B51/B$78,4))</f>
        <v>0.1333</v>
      </c>
      <c r="N51" s="542" t="s">
        <v>202</v>
      </c>
    </row>
    <row r="52" spans="1:32" ht="24" customHeight="1">
      <c r="A52" s="309" t="s">
        <v>107</v>
      </c>
      <c r="B52" s="352"/>
      <c r="C52" s="348">
        <v>1.5</v>
      </c>
      <c r="D52" s="348">
        <v>2</v>
      </c>
      <c r="E52" s="348">
        <v>2.5</v>
      </c>
      <c r="F52" s="348">
        <v>3</v>
      </c>
      <c r="G52" s="348">
        <v>5</v>
      </c>
      <c r="H52" s="531" t="s">
        <v>146</v>
      </c>
      <c r="I52" s="535"/>
      <c r="J52" s="535"/>
      <c r="K52" s="532"/>
      <c r="L52" s="307"/>
      <c r="M52" s="30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</row>
    <row r="53" spans="1:32" ht="24" customHeight="1">
      <c r="A53" s="309"/>
      <c r="B53" s="352"/>
      <c r="C53" s="344"/>
      <c r="D53" s="344"/>
      <c r="E53" s="344"/>
      <c r="F53" s="344"/>
      <c r="G53" s="344"/>
      <c r="H53" s="531" t="s">
        <v>110</v>
      </c>
      <c r="I53" s="535"/>
      <c r="J53" s="535"/>
      <c r="K53" s="532"/>
      <c r="L53" s="307"/>
      <c r="M53" s="308"/>
      <c r="O53" s="356"/>
      <c r="P53" s="356"/>
      <c r="Q53" s="356"/>
      <c r="R53" s="356"/>
      <c r="S53" s="356"/>
      <c r="T53" s="356"/>
      <c r="U53" s="356"/>
      <c r="V53" s="356"/>
      <c r="W53" s="356"/>
      <c r="X53" s="356"/>
      <c r="Y53" s="356"/>
      <c r="Z53" s="356"/>
      <c r="AA53" s="356"/>
      <c r="AB53" s="356"/>
      <c r="AC53" s="356"/>
      <c r="AD53" s="356"/>
      <c r="AE53" s="356"/>
      <c r="AF53" s="356"/>
    </row>
    <row r="54" spans="1:32" ht="24" customHeight="1">
      <c r="A54" s="309"/>
      <c r="B54" s="352"/>
      <c r="C54" s="344"/>
      <c r="D54" s="344"/>
      <c r="E54" s="344"/>
      <c r="F54" s="344"/>
      <c r="G54" s="344"/>
      <c r="H54" s="531" t="s">
        <v>191</v>
      </c>
      <c r="I54" s="535"/>
      <c r="J54" s="535"/>
      <c r="K54" s="532"/>
      <c r="L54" s="307"/>
      <c r="M54" s="308"/>
      <c r="O54" s="356"/>
      <c r="P54" s="356"/>
      <c r="Q54" s="356"/>
      <c r="R54" s="356"/>
      <c r="S54" s="356"/>
      <c r="T54" s="356"/>
      <c r="U54" s="356"/>
      <c r="V54" s="356"/>
      <c r="W54" s="356"/>
      <c r="X54" s="356"/>
      <c r="Y54" s="356"/>
      <c r="Z54" s="356"/>
      <c r="AA54" s="356"/>
      <c r="AB54" s="356"/>
      <c r="AC54" s="356"/>
      <c r="AD54" s="356"/>
      <c r="AE54" s="356"/>
      <c r="AF54" s="356"/>
    </row>
    <row r="55" spans="1:32" ht="24" customHeight="1">
      <c r="A55" s="309"/>
      <c r="B55" s="352"/>
      <c r="C55" s="344"/>
      <c r="D55" s="344"/>
      <c r="E55" s="344"/>
      <c r="F55" s="344"/>
      <c r="G55" s="344"/>
      <c r="H55" s="531"/>
      <c r="I55" s="323" t="s">
        <v>112</v>
      </c>
      <c r="J55" s="324">
        <v>2</v>
      </c>
      <c r="K55" s="382"/>
      <c r="L55" s="307"/>
      <c r="M55" s="308"/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  <c r="AE55" s="356"/>
      <c r="AF55" s="356"/>
    </row>
    <row r="56" spans="1:32" ht="24" customHeight="1">
      <c r="A56" s="325"/>
      <c r="B56" s="359"/>
      <c r="C56" s="310"/>
      <c r="D56" s="310"/>
      <c r="E56" s="310"/>
      <c r="F56" s="310"/>
      <c r="G56" s="310"/>
      <c r="H56" s="705" t="s">
        <v>213</v>
      </c>
      <c r="I56" s="706"/>
      <c r="J56" s="706"/>
      <c r="K56" s="707"/>
      <c r="L56" s="326"/>
      <c r="M56" s="299"/>
      <c r="O56" s="356"/>
      <c r="P56" s="356"/>
      <c r="Q56" s="356"/>
      <c r="R56" s="356"/>
      <c r="S56" s="356"/>
      <c r="T56" s="356"/>
      <c r="U56" s="356"/>
      <c r="V56" s="356"/>
      <c r="W56" s="356"/>
      <c r="X56" s="356"/>
      <c r="Y56" s="356"/>
      <c r="Z56" s="356"/>
      <c r="AA56" s="356"/>
      <c r="AB56" s="356"/>
      <c r="AC56" s="356"/>
      <c r="AD56" s="356"/>
      <c r="AE56" s="356"/>
      <c r="AF56" s="356"/>
    </row>
    <row r="57" spans="1:32" ht="24" customHeight="1">
      <c r="A57" s="350" t="s">
        <v>132</v>
      </c>
      <c r="B57" s="407">
        <v>4</v>
      </c>
      <c r="C57" s="340">
        <v>0.1</v>
      </c>
      <c r="D57" s="340">
        <v>0.3</v>
      </c>
      <c r="E57" s="340">
        <v>0.5</v>
      </c>
      <c r="F57" s="340">
        <v>0.7</v>
      </c>
      <c r="G57" s="340">
        <v>1</v>
      </c>
      <c r="H57" s="536" t="s">
        <v>123</v>
      </c>
      <c r="I57" s="533"/>
      <c r="J57" s="533"/>
      <c r="K57" s="534"/>
      <c r="L57" s="304">
        <v>5</v>
      </c>
      <c r="M57" s="305">
        <f>IF(L57=0,"-",ROUND(L57*B57/B$78,4))</f>
        <v>0.33329999999999999</v>
      </c>
      <c r="N57" s="487" t="s">
        <v>202</v>
      </c>
      <c r="O57" s="356"/>
      <c r="P57" s="356"/>
      <c r="Q57" s="356"/>
      <c r="R57" s="356"/>
      <c r="S57" s="356"/>
      <c r="T57" s="356"/>
      <c r="U57" s="356"/>
      <c r="V57" s="357"/>
      <c r="W57" s="356"/>
      <c r="X57" s="356"/>
      <c r="Y57" s="356"/>
      <c r="Z57" s="356"/>
      <c r="AA57" s="356"/>
      <c r="AB57" s="356"/>
      <c r="AC57" s="356"/>
      <c r="AD57" s="356"/>
      <c r="AE57" s="356"/>
      <c r="AF57" s="356"/>
    </row>
    <row r="58" spans="1:32" ht="24" customHeight="1">
      <c r="A58" s="351" t="s">
        <v>192</v>
      </c>
      <c r="B58" s="352"/>
      <c r="C58" s="320"/>
      <c r="D58" s="320"/>
      <c r="E58" s="320"/>
      <c r="F58" s="320"/>
      <c r="G58" s="311"/>
      <c r="H58" s="531" t="s">
        <v>124</v>
      </c>
      <c r="I58" s="322"/>
      <c r="J58" s="353"/>
      <c r="K58" s="354"/>
      <c r="L58" s="355"/>
      <c r="M58" s="308"/>
      <c r="N58" s="487" t="s">
        <v>237</v>
      </c>
      <c r="O58" s="356"/>
      <c r="P58" s="356"/>
      <c r="Q58" s="356"/>
      <c r="R58" s="356"/>
      <c r="S58" s="356"/>
      <c r="T58" s="356"/>
      <c r="U58" s="356"/>
      <c r="V58" s="357"/>
      <c r="W58" s="356"/>
      <c r="X58" s="356"/>
      <c r="Y58" s="356"/>
      <c r="Z58" s="356"/>
      <c r="AA58" s="356"/>
      <c r="AB58" s="356"/>
      <c r="AC58" s="356"/>
      <c r="AD58" s="356"/>
      <c r="AE58" s="356"/>
      <c r="AF58" s="356"/>
    </row>
    <row r="59" spans="1:32" ht="24" customHeight="1">
      <c r="A59" s="351"/>
      <c r="B59" s="352"/>
      <c r="C59" s="320"/>
      <c r="D59" s="320"/>
      <c r="E59" s="320"/>
      <c r="F59" s="320"/>
      <c r="G59" s="320"/>
      <c r="H59" s="535" t="s">
        <v>125</v>
      </c>
      <c r="I59" s="322"/>
      <c r="J59" s="353"/>
      <c r="K59" s="354"/>
      <c r="L59" s="355"/>
      <c r="M59" s="308"/>
    </row>
    <row r="60" spans="1:32" ht="24" customHeight="1">
      <c r="A60" s="351"/>
      <c r="B60" s="352"/>
      <c r="C60" s="320"/>
      <c r="D60" s="320"/>
      <c r="E60" s="320"/>
      <c r="F60" s="320"/>
      <c r="G60" s="320"/>
      <c r="H60" s="531" t="s">
        <v>126</v>
      </c>
      <c r="I60" s="322"/>
      <c r="J60" s="353"/>
      <c r="K60" s="354"/>
      <c r="L60" s="355"/>
      <c r="M60" s="308"/>
    </row>
    <row r="61" spans="1:32" ht="24" customHeight="1">
      <c r="A61" s="351"/>
      <c r="B61" s="352"/>
      <c r="C61" s="320"/>
      <c r="D61" s="320"/>
      <c r="E61" s="320"/>
      <c r="F61" s="320"/>
      <c r="G61" s="320"/>
      <c r="H61" s="531" t="s">
        <v>127</v>
      </c>
      <c r="I61" s="322"/>
      <c r="J61" s="353"/>
      <c r="K61" s="354"/>
      <c r="L61" s="355"/>
      <c r="M61" s="308"/>
    </row>
    <row r="62" spans="1:32" ht="24" customHeight="1">
      <c r="A62" s="351"/>
      <c r="B62" s="352"/>
      <c r="C62" s="320"/>
      <c r="D62" s="320"/>
      <c r="E62" s="320"/>
      <c r="F62" s="320"/>
      <c r="G62" s="320"/>
      <c r="H62" s="531"/>
      <c r="I62" s="323" t="s">
        <v>114</v>
      </c>
      <c r="J62" s="408">
        <v>100</v>
      </c>
      <c r="K62" s="382" t="s">
        <v>51</v>
      </c>
      <c r="L62" s="355"/>
      <c r="M62" s="308"/>
    </row>
    <row r="63" spans="1:32" ht="24" customHeight="1">
      <c r="A63" s="358"/>
      <c r="B63" s="359"/>
      <c r="C63" s="310"/>
      <c r="D63" s="310"/>
      <c r="E63" s="310"/>
      <c r="F63" s="310"/>
      <c r="G63" s="310"/>
      <c r="H63" s="330"/>
      <c r="I63" s="427"/>
      <c r="J63" s="427"/>
      <c r="K63" s="428"/>
      <c r="L63" s="360"/>
      <c r="M63" s="299"/>
    </row>
    <row r="64" spans="1:32" ht="24" customHeight="1">
      <c r="A64" s="302" t="s">
        <v>115</v>
      </c>
      <c r="B64" s="407">
        <v>4</v>
      </c>
      <c r="C64" s="361">
        <v>0.8</v>
      </c>
      <c r="D64" s="361">
        <v>0.85</v>
      </c>
      <c r="E64" s="361">
        <v>0.9</v>
      </c>
      <c r="F64" s="361">
        <v>0.95</v>
      </c>
      <c r="G64" s="361">
        <v>1</v>
      </c>
      <c r="H64" s="536" t="s">
        <v>157</v>
      </c>
      <c r="I64" s="533"/>
      <c r="J64" s="533"/>
      <c r="K64" s="534"/>
      <c r="L64" s="304">
        <v>5</v>
      </c>
      <c r="M64" s="305">
        <f>IF(L64=0,"-",ROUND(L64*B64/B$78,4))</f>
        <v>0.33329999999999999</v>
      </c>
      <c r="N64" s="429" t="s">
        <v>203</v>
      </c>
    </row>
    <row r="65" spans="1:13" ht="24" customHeight="1">
      <c r="A65" s="309" t="s">
        <v>116</v>
      </c>
      <c r="B65" s="352"/>
      <c r="C65" s="348"/>
      <c r="D65" s="348"/>
      <c r="E65" s="348"/>
      <c r="F65" s="348"/>
      <c r="G65" s="348"/>
      <c r="H65" s="531" t="s">
        <v>158</v>
      </c>
      <c r="I65" s="535"/>
      <c r="J65" s="535"/>
      <c r="K65" s="532"/>
      <c r="L65" s="362"/>
      <c r="M65" s="308"/>
    </row>
    <row r="66" spans="1:13" ht="23.25">
      <c r="A66" s="309" t="s">
        <v>193</v>
      </c>
      <c r="B66" s="352"/>
      <c r="C66" s="320"/>
      <c r="D66" s="320"/>
      <c r="E66" s="320"/>
      <c r="F66" s="320"/>
      <c r="G66" s="320"/>
      <c r="H66" s="531" t="s">
        <v>197</v>
      </c>
      <c r="I66" s="535"/>
      <c r="J66" s="535"/>
      <c r="K66" s="532"/>
      <c r="L66" s="362"/>
      <c r="M66" s="308"/>
    </row>
    <row r="67" spans="1:13" ht="23.25">
      <c r="A67" s="309"/>
      <c r="B67" s="352"/>
      <c r="C67" s="320"/>
      <c r="D67" s="320"/>
      <c r="E67" s="320"/>
      <c r="F67" s="320"/>
      <c r="G67" s="320"/>
      <c r="H67" s="531" t="s">
        <v>120</v>
      </c>
      <c r="I67" s="535"/>
      <c r="J67" s="535"/>
      <c r="K67" s="532"/>
      <c r="L67" s="362"/>
      <c r="M67" s="308"/>
    </row>
    <row r="68" spans="1:13" ht="23.25">
      <c r="A68" s="309"/>
      <c r="B68" s="352"/>
      <c r="C68" s="320"/>
      <c r="D68" s="320"/>
      <c r="E68" s="320"/>
      <c r="F68" s="320"/>
      <c r="G68" s="320"/>
      <c r="H68" s="531" t="s">
        <v>194</v>
      </c>
      <c r="I68" s="535"/>
      <c r="J68" s="535"/>
      <c r="K68" s="532"/>
      <c r="L68" s="362"/>
      <c r="M68" s="308"/>
    </row>
    <row r="69" spans="1:13" ht="23.25">
      <c r="A69" s="309"/>
      <c r="B69" s="352"/>
      <c r="C69" s="320"/>
      <c r="D69" s="320"/>
      <c r="E69" s="320"/>
      <c r="F69" s="320"/>
      <c r="G69" s="344"/>
      <c r="H69" s="531" t="s">
        <v>195</v>
      </c>
      <c r="I69" s="345"/>
      <c r="J69" s="408">
        <v>100</v>
      </c>
      <c r="K69" s="414" t="s">
        <v>51</v>
      </c>
      <c r="L69" s="413"/>
      <c r="M69" s="308"/>
    </row>
    <row r="70" spans="1:13" ht="23.25">
      <c r="A70" s="358"/>
      <c r="B70" s="415"/>
      <c r="C70" s="412"/>
      <c r="D70" s="412"/>
      <c r="E70" s="412"/>
      <c r="F70" s="412"/>
      <c r="G70" s="329"/>
      <c r="H70" s="538"/>
      <c r="I70" s="418"/>
      <c r="J70" s="419"/>
      <c r="K70" s="417"/>
      <c r="L70" s="420"/>
      <c r="M70" s="308"/>
    </row>
    <row r="71" spans="1:13" ht="23.25">
      <c r="A71" s="351" t="s">
        <v>316</v>
      </c>
      <c r="B71" s="543">
        <v>4</v>
      </c>
      <c r="C71" s="544">
        <v>0.4</v>
      </c>
      <c r="D71" s="544">
        <v>0.45</v>
      </c>
      <c r="E71" s="544">
        <v>0.5</v>
      </c>
      <c r="F71" s="544">
        <v>0.55000000000000004</v>
      </c>
      <c r="G71" s="544">
        <v>0.6</v>
      </c>
      <c r="H71" s="531" t="s">
        <v>317</v>
      </c>
      <c r="I71" s="345"/>
      <c r="J71" s="545"/>
      <c r="K71" s="546"/>
      <c r="L71" s="413">
        <v>4</v>
      </c>
      <c r="M71" s="305">
        <f>IF(L71=0,"-",ROUND(L71*B71/B$78,4))</f>
        <v>0.26669999999999999</v>
      </c>
    </row>
    <row r="72" spans="1:13" ht="23.25">
      <c r="A72" s="351" t="s">
        <v>318</v>
      </c>
      <c r="B72" s="406"/>
      <c r="C72" s="311"/>
      <c r="D72" s="311"/>
      <c r="E72" s="311"/>
      <c r="F72" s="311"/>
      <c r="G72" s="333"/>
      <c r="H72" s="531" t="s">
        <v>319</v>
      </c>
      <c r="I72" s="345"/>
      <c r="J72" s="545"/>
      <c r="K72" s="546"/>
      <c r="L72" s="413"/>
      <c r="M72" s="308"/>
    </row>
    <row r="73" spans="1:13" ht="23.25">
      <c r="A73" s="351"/>
      <c r="B73" s="406"/>
      <c r="C73" s="311"/>
      <c r="D73" s="311"/>
      <c r="E73" s="311"/>
      <c r="F73" s="311"/>
      <c r="G73" s="333"/>
      <c r="H73" s="531"/>
      <c r="I73" s="345"/>
      <c r="J73" s="545"/>
      <c r="K73" s="546"/>
      <c r="L73" s="413"/>
      <c r="M73" s="308"/>
    </row>
    <row r="74" spans="1:13" ht="23.25">
      <c r="A74" s="351"/>
      <c r="B74" s="406"/>
      <c r="C74" s="311"/>
      <c r="D74" s="311"/>
      <c r="E74" s="311"/>
      <c r="F74" s="311"/>
      <c r="G74" s="333"/>
      <c r="H74" s="531"/>
      <c r="I74" s="345" t="s">
        <v>174</v>
      </c>
      <c r="J74" s="547">
        <v>55</v>
      </c>
      <c r="K74" s="414" t="s">
        <v>51</v>
      </c>
      <c r="L74" s="413"/>
      <c r="M74" s="308"/>
    </row>
    <row r="75" spans="1:13" ht="23.25">
      <c r="A75" s="351"/>
      <c r="B75" s="406"/>
      <c r="C75" s="311"/>
      <c r="D75" s="311"/>
      <c r="E75" s="311"/>
      <c r="F75" s="311"/>
      <c r="G75" s="333"/>
      <c r="H75" s="531"/>
      <c r="I75" s="345"/>
      <c r="J75" s="545"/>
      <c r="K75" s="546"/>
      <c r="L75" s="413"/>
      <c r="M75" s="308"/>
    </row>
    <row r="76" spans="1:13" ht="23.25">
      <c r="A76" s="351"/>
      <c r="B76" s="406"/>
      <c r="C76" s="311"/>
      <c r="D76" s="311"/>
      <c r="E76" s="311"/>
      <c r="F76" s="311"/>
      <c r="G76" s="333"/>
      <c r="H76" s="531"/>
      <c r="I76" s="345"/>
      <c r="J76" s="545"/>
      <c r="K76" s="546"/>
      <c r="L76" s="413"/>
      <c r="M76" s="308"/>
    </row>
    <row r="77" spans="1:13" ht="23.25">
      <c r="A77" s="358"/>
      <c r="B77" s="415"/>
      <c r="C77" s="412"/>
      <c r="D77" s="412"/>
      <c r="E77" s="412"/>
      <c r="F77" s="412"/>
      <c r="G77" s="416"/>
      <c r="H77" s="538"/>
      <c r="I77" s="345"/>
      <c r="J77" s="545"/>
      <c r="K77" s="417"/>
      <c r="L77" s="413"/>
      <c r="M77" s="308"/>
    </row>
    <row r="78" spans="1:13" ht="26.25">
      <c r="A78" s="363"/>
      <c r="B78" s="409">
        <f>ROUND(SUM(B6:B77),1)</f>
        <v>60</v>
      </c>
      <c r="C78" s="364"/>
      <c r="D78" s="364"/>
      <c r="E78" s="364"/>
      <c r="F78" s="364"/>
      <c r="G78" s="365"/>
      <c r="H78" s="364"/>
      <c r="I78" s="364"/>
      <c r="J78" s="364"/>
      <c r="K78" s="364"/>
      <c r="L78" s="366" t="s">
        <v>139</v>
      </c>
      <c r="M78" s="410">
        <f>SUM(M6:M77)</f>
        <v>1.8666999999999998</v>
      </c>
    </row>
  </sheetData>
  <mergeCells count="17"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  <mergeCell ref="H14:K14"/>
    <mergeCell ref="H15:K15"/>
    <mergeCell ref="H20:K20"/>
    <mergeCell ref="H50:K50"/>
    <mergeCell ref="H56:K56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5" max="12" man="1"/>
    <brk id="50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AF81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22" width="9.140625" style="292"/>
    <col min="23" max="23" width="13.42578125" style="292" bestFit="1" customWidth="1"/>
    <col min="24" max="24" width="9.85546875" style="292" bestFit="1" customWidth="1"/>
    <col min="25" max="16384" width="9.140625" style="292"/>
  </cols>
  <sheetData>
    <row r="1" spans="1:15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15" ht="24" customHeight="1">
      <c r="A2" s="710" t="s">
        <v>327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15" ht="24" customHeight="1">
      <c r="A3" s="293" t="s">
        <v>328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15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</row>
    <row r="5" spans="1:15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719"/>
      <c r="M5" s="301" t="s">
        <v>9</v>
      </c>
    </row>
    <row r="6" spans="1:15" ht="24" customHeight="1">
      <c r="A6" s="302" t="s">
        <v>159</v>
      </c>
      <c r="B6" s="391">
        <v>12</v>
      </c>
      <c r="C6" s="392">
        <v>0.6</v>
      </c>
      <c r="D6" s="393">
        <v>0.7</v>
      </c>
      <c r="E6" s="393">
        <v>0.8</v>
      </c>
      <c r="F6" s="393">
        <v>0.9</v>
      </c>
      <c r="G6" s="394">
        <v>1</v>
      </c>
      <c r="H6" s="708" t="s">
        <v>14</v>
      </c>
      <c r="I6" s="708"/>
      <c r="J6" s="709" t="s">
        <v>160</v>
      </c>
      <c r="K6" s="709"/>
      <c r="L6" s="395">
        <v>4.8895</v>
      </c>
      <c r="M6" s="305">
        <f>IF(L6=0,"-",ROUND(L6*B6/B$81,4))</f>
        <v>0.81489999999999996</v>
      </c>
      <c r="N6" s="292">
        <v>10</v>
      </c>
      <c r="O6" s="292">
        <v>1</v>
      </c>
    </row>
    <row r="7" spans="1:15" ht="24" customHeight="1">
      <c r="A7" s="309" t="s">
        <v>161</v>
      </c>
      <c r="B7" s="327"/>
      <c r="C7" s="316"/>
      <c r="D7" s="316"/>
      <c r="E7" s="316"/>
      <c r="F7" s="316"/>
      <c r="G7" s="396"/>
      <c r="H7" s="708"/>
      <c r="I7" s="708"/>
      <c r="J7" s="530" t="s">
        <v>17</v>
      </c>
      <c r="K7" s="367" t="s">
        <v>18</v>
      </c>
      <c r="L7" s="355"/>
      <c r="M7" s="308"/>
      <c r="N7" s="292">
        <v>8.8949999999999996</v>
      </c>
      <c r="O7" s="292">
        <f>O6*N7/N6</f>
        <v>0.88949999999999996</v>
      </c>
    </row>
    <row r="8" spans="1:15" ht="24" customHeight="1">
      <c r="A8" s="309"/>
      <c r="B8" s="327"/>
      <c r="C8" s="318"/>
      <c r="D8" s="318"/>
      <c r="E8" s="318"/>
      <c r="F8" s="318"/>
      <c r="G8" s="397"/>
      <c r="H8" s="536" t="s">
        <v>162</v>
      </c>
      <c r="I8" s="534"/>
      <c r="J8" s="398">
        <v>61</v>
      </c>
      <c r="K8" s="555">
        <v>0.98895</v>
      </c>
      <c r="L8" s="355"/>
      <c r="M8" s="308"/>
      <c r="N8" s="495" t="s">
        <v>237</v>
      </c>
    </row>
    <row r="9" spans="1:15" ht="24" customHeight="1">
      <c r="A9" s="309"/>
      <c r="B9" s="399"/>
      <c r="C9" s="319"/>
      <c r="D9" s="320"/>
      <c r="E9" s="320"/>
      <c r="F9" s="320"/>
      <c r="G9" s="311"/>
      <c r="H9" s="720" t="s">
        <v>163</v>
      </c>
      <c r="I9" s="721"/>
      <c r="J9" s="400"/>
      <c r="K9" s="556"/>
      <c r="L9" s="355"/>
      <c r="M9" s="308"/>
    </row>
    <row r="10" spans="1:15" ht="24" customHeight="1">
      <c r="A10" s="309"/>
      <c r="B10" s="399"/>
      <c r="C10" s="320"/>
      <c r="D10" s="320"/>
      <c r="E10" s="320"/>
      <c r="F10" s="320"/>
      <c r="G10" s="311"/>
      <c r="H10" s="720"/>
      <c r="I10" s="721"/>
      <c r="J10" s="400"/>
      <c r="K10" s="557"/>
      <c r="L10" s="355"/>
      <c r="M10" s="308"/>
    </row>
    <row r="11" spans="1:15" ht="24" customHeight="1" thickBot="1">
      <c r="A11" s="309"/>
      <c r="B11" s="399"/>
      <c r="C11" s="310"/>
      <c r="D11" s="310"/>
      <c r="E11" s="310"/>
      <c r="F11" s="310" t="s">
        <v>164</v>
      </c>
      <c r="G11" s="310"/>
      <c r="H11" s="725" t="s">
        <v>20</v>
      </c>
      <c r="I11" s="725"/>
      <c r="J11" s="401">
        <f>SUM(J5:J10)</f>
        <v>61</v>
      </c>
      <c r="K11" s="558"/>
      <c r="L11" s="355"/>
      <c r="M11" s="308"/>
    </row>
    <row r="12" spans="1:15" ht="24" customHeight="1" thickTop="1">
      <c r="A12" s="302" t="s">
        <v>169</v>
      </c>
      <c r="B12" s="391">
        <v>4</v>
      </c>
      <c r="C12" s="303">
        <v>0.65</v>
      </c>
      <c r="D12" s="303">
        <v>0.7</v>
      </c>
      <c r="E12" s="303">
        <v>0.75</v>
      </c>
      <c r="F12" s="303">
        <v>0.8</v>
      </c>
      <c r="G12" s="303">
        <v>0.85</v>
      </c>
      <c r="H12" s="726" t="s">
        <v>141</v>
      </c>
      <c r="I12" s="722"/>
      <c r="J12" s="722"/>
      <c r="K12" s="723"/>
      <c r="L12" s="304">
        <v>1</v>
      </c>
      <c r="M12" s="305">
        <f>IF(L12=0,"-",ROUND(L12*B12/B$81,4))</f>
        <v>5.5599999999999997E-2</v>
      </c>
    </row>
    <row r="13" spans="1:15" ht="24" customHeight="1">
      <c r="A13" s="309" t="s">
        <v>44</v>
      </c>
      <c r="B13" s="399"/>
      <c r="C13" s="320"/>
      <c r="D13" s="320"/>
      <c r="E13" s="320"/>
      <c r="F13" s="320"/>
      <c r="G13" s="320"/>
      <c r="H13" s="720" t="s">
        <v>142</v>
      </c>
      <c r="I13" s="724"/>
      <c r="J13" s="724"/>
      <c r="K13" s="721"/>
      <c r="L13" s="307"/>
      <c r="M13" s="308"/>
      <c r="N13" s="495" t="s">
        <v>237</v>
      </c>
    </row>
    <row r="14" spans="1:15" ht="24" customHeight="1">
      <c r="A14" s="309"/>
      <c r="B14" s="399"/>
      <c r="C14" s="320"/>
      <c r="D14" s="320"/>
      <c r="E14" s="320"/>
      <c r="F14" s="320"/>
      <c r="G14" s="320"/>
      <c r="H14" s="720" t="s">
        <v>143</v>
      </c>
      <c r="I14" s="724"/>
      <c r="J14" s="724"/>
      <c r="K14" s="721"/>
      <c r="L14" s="307"/>
      <c r="M14" s="308"/>
    </row>
    <row r="15" spans="1:15" ht="24" customHeight="1">
      <c r="A15" s="309"/>
      <c r="B15" s="399"/>
      <c r="C15" s="320"/>
      <c r="D15" s="320"/>
      <c r="E15" s="320"/>
      <c r="F15" s="320"/>
      <c r="G15" s="320"/>
      <c r="H15" s="720" t="s">
        <v>144</v>
      </c>
      <c r="I15" s="724"/>
      <c r="J15" s="724"/>
      <c r="K15" s="721"/>
      <c r="L15" s="307"/>
      <c r="M15" s="308"/>
    </row>
    <row r="16" spans="1:15" ht="24" customHeight="1">
      <c r="A16" s="309"/>
      <c r="B16" s="399"/>
      <c r="C16" s="320"/>
      <c r="D16" s="320"/>
      <c r="E16" s="320"/>
      <c r="F16" s="320"/>
      <c r="G16" s="320"/>
      <c r="H16" s="720" t="s">
        <v>170</v>
      </c>
      <c r="I16" s="724"/>
      <c r="J16" s="724"/>
      <c r="K16" s="721"/>
      <c r="L16" s="307"/>
      <c r="M16" s="308"/>
    </row>
    <row r="17" spans="1:26" ht="24" customHeight="1">
      <c r="A17" s="309"/>
      <c r="B17" s="399"/>
      <c r="C17" s="320"/>
      <c r="D17" s="320"/>
      <c r="E17" s="320"/>
      <c r="F17" s="320"/>
      <c r="G17" s="320"/>
      <c r="I17" s="323" t="s">
        <v>54</v>
      </c>
      <c r="J17" s="324" t="s">
        <v>11</v>
      </c>
      <c r="K17" s="532" t="s">
        <v>51</v>
      </c>
      <c r="L17" s="307"/>
      <c r="M17" s="308"/>
    </row>
    <row r="18" spans="1:26" ht="24" customHeight="1">
      <c r="A18" s="325"/>
      <c r="B18" s="402"/>
      <c r="C18" s="310"/>
      <c r="D18" s="310"/>
      <c r="E18" s="310"/>
      <c r="F18" s="310"/>
      <c r="G18" s="310"/>
      <c r="H18" s="705" t="s">
        <v>212</v>
      </c>
      <c r="I18" s="706"/>
      <c r="J18" s="706"/>
      <c r="K18" s="707"/>
      <c r="L18" s="326"/>
      <c r="M18" s="299"/>
    </row>
    <row r="19" spans="1:26" ht="24" customHeight="1">
      <c r="A19" s="302" t="s">
        <v>53</v>
      </c>
      <c r="B19" s="403">
        <v>12</v>
      </c>
      <c r="C19" s="303">
        <v>0.6</v>
      </c>
      <c r="D19" s="303">
        <v>0.7</v>
      </c>
      <c r="E19" s="303">
        <v>0.8</v>
      </c>
      <c r="F19" s="303">
        <v>0.9</v>
      </c>
      <c r="G19" s="303">
        <v>1</v>
      </c>
      <c r="H19" s="722" t="s">
        <v>171</v>
      </c>
      <c r="I19" s="722"/>
      <c r="J19" s="722"/>
      <c r="K19" s="723"/>
      <c r="L19" s="304">
        <f>1+P20</f>
        <v>1.2579999999999998</v>
      </c>
      <c r="M19" s="305">
        <f>IF(L19=0,"-",ROUND(L19*B19/B$81,4))</f>
        <v>0.2097</v>
      </c>
      <c r="N19" s="559" t="s">
        <v>329</v>
      </c>
      <c r="O19" s="292">
        <v>10</v>
      </c>
      <c r="P19" s="292">
        <v>1</v>
      </c>
      <c r="S19" s="560"/>
      <c r="T19" s="561"/>
      <c r="U19" s="446"/>
    </row>
    <row r="20" spans="1:26" ht="24" customHeight="1">
      <c r="A20" s="309" t="s">
        <v>21</v>
      </c>
      <c r="B20" s="352"/>
      <c r="C20" s="320"/>
      <c r="D20" s="320"/>
      <c r="E20" s="320"/>
      <c r="F20" s="320"/>
      <c r="G20" s="320"/>
      <c r="H20" s="720" t="s">
        <v>83</v>
      </c>
      <c r="I20" s="724"/>
      <c r="J20" s="724"/>
      <c r="K20" s="721"/>
      <c r="L20" s="307"/>
      <c r="M20" s="308"/>
      <c r="N20" s="429" t="s">
        <v>199</v>
      </c>
      <c r="O20" s="562">
        <f>J24-60</f>
        <v>2.5799999999999983</v>
      </c>
      <c r="P20" s="292">
        <f>P19*O20/O19</f>
        <v>0.25799999999999984</v>
      </c>
    </row>
    <row r="21" spans="1:26" ht="24" customHeight="1">
      <c r="A21" s="309"/>
      <c r="B21" s="352"/>
      <c r="C21" s="320"/>
      <c r="D21" s="320"/>
      <c r="E21" s="320"/>
      <c r="F21" s="320"/>
      <c r="G21" s="320"/>
      <c r="H21" s="720" t="s">
        <v>172</v>
      </c>
      <c r="I21" s="724"/>
      <c r="J21" s="724"/>
      <c r="K21" s="721"/>
      <c r="L21" s="307"/>
      <c r="M21" s="308"/>
      <c r="N21" s="495" t="s">
        <v>237</v>
      </c>
      <c r="Q21" s="298" t="s">
        <v>238</v>
      </c>
      <c r="W21" s="530" t="s">
        <v>324</v>
      </c>
      <c r="X21" s="530" t="s">
        <v>240</v>
      </c>
    </row>
    <row r="22" spans="1:26" ht="24" customHeight="1">
      <c r="A22" s="309"/>
      <c r="B22" s="352"/>
      <c r="C22" s="320"/>
      <c r="D22" s="320"/>
      <c r="E22" s="320"/>
      <c r="F22" s="320"/>
      <c r="G22" s="320"/>
      <c r="H22" s="380" t="s">
        <v>173</v>
      </c>
      <c r="I22" s="323"/>
      <c r="J22" s="328"/>
      <c r="K22" s="532"/>
      <c r="L22" s="307"/>
      <c r="M22" s="308"/>
      <c r="Q22" s="462">
        <v>2</v>
      </c>
      <c r="R22" s="463" t="s">
        <v>242</v>
      </c>
      <c r="S22" s="455"/>
      <c r="T22" s="455"/>
      <c r="U22" s="455"/>
      <c r="V22" s="456"/>
      <c r="W22" s="464">
        <v>821051637</v>
      </c>
      <c r="X22" s="436">
        <v>62.58</v>
      </c>
      <c r="Y22" s="292" t="s">
        <v>51</v>
      </c>
    </row>
    <row r="23" spans="1:26" ht="24" customHeight="1">
      <c r="A23" s="309"/>
      <c r="B23" s="352"/>
      <c r="C23" s="320"/>
      <c r="D23" s="320"/>
      <c r="E23" s="320"/>
      <c r="F23" s="320"/>
      <c r="G23" s="320"/>
      <c r="H23" s="380"/>
      <c r="I23" s="323"/>
      <c r="J23" s="328"/>
      <c r="K23" s="532"/>
      <c r="L23" s="307"/>
      <c r="M23" s="308"/>
    </row>
    <row r="24" spans="1:26" ht="24" customHeight="1">
      <c r="A24" s="309"/>
      <c r="B24" s="352"/>
      <c r="C24" s="320"/>
      <c r="D24" s="320"/>
      <c r="E24" s="320"/>
      <c r="F24" s="320"/>
      <c r="G24" s="320"/>
      <c r="H24" s="380"/>
      <c r="I24" s="323" t="s">
        <v>174</v>
      </c>
      <c r="J24" s="328">
        <f>X22</f>
        <v>62.58</v>
      </c>
      <c r="K24" s="532" t="s">
        <v>51</v>
      </c>
      <c r="L24" s="307"/>
      <c r="M24" s="308"/>
    </row>
    <row r="25" spans="1:26" ht="24" customHeight="1">
      <c r="A25" s="325"/>
      <c r="B25" s="359"/>
      <c r="C25" s="310"/>
      <c r="D25" s="310"/>
      <c r="E25" s="310"/>
      <c r="F25" s="310"/>
      <c r="G25" s="310"/>
      <c r="H25" s="329"/>
      <c r="I25" s="330"/>
      <c r="J25" s="404"/>
      <c r="K25" s="331"/>
      <c r="L25" s="326"/>
      <c r="M25" s="299"/>
    </row>
    <row r="26" spans="1:26" ht="24" customHeight="1">
      <c r="A26" s="302" t="s">
        <v>179</v>
      </c>
      <c r="B26" s="403">
        <v>4</v>
      </c>
      <c r="C26" s="332">
        <v>0.5</v>
      </c>
      <c r="D26" s="332">
        <v>0.75</v>
      </c>
      <c r="E26" s="332">
        <v>1</v>
      </c>
      <c r="F26" s="332">
        <v>1</v>
      </c>
      <c r="G26" s="332">
        <v>1</v>
      </c>
      <c r="H26" s="726" t="s">
        <v>57</v>
      </c>
      <c r="I26" s="722"/>
      <c r="J26" s="722"/>
      <c r="K26" s="723"/>
      <c r="L26" s="304">
        <f>2+P27</f>
        <v>2.3336399999999999</v>
      </c>
      <c r="M26" s="305">
        <f>IF(L26=0,"-",ROUND(L26*B26/B$81,4))</f>
        <v>0.12959999999999999</v>
      </c>
      <c r="N26" s="429" t="s">
        <v>199</v>
      </c>
      <c r="O26" s="292">
        <v>25</v>
      </c>
      <c r="P26" s="292">
        <v>1</v>
      </c>
    </row>
    <row r="27" spans="1:26" ht="24" customHeight="1">
      <c r="A27" s="309" t="s">
        <v>23</v>
      </c>
      <c r="B27" s="352"/>
      <c r="C27" s="320"/>
      <c r="D27" s="320"/>
      <c r="E27" s="320"/>
      <c r="F27" s="335" t="s">
        <v>70</v>
      </c>
      <c r="G27" s="335" t="s">
        <v>70</v>
      </c>
      <c r="H27" s="531" t="s">
        <v>58</v>
      </c>
      <c r="I27" s="535"/>
      <c r="J27" s="535"/>
      <c r="K27" s="532"/>
      <c r="L27" s="307"/>
      <c r="M27" s="308"/>
      <c r="N27" s="495" t="s">
        <v>237</v>
      </c>
      <c r="O27" s="292">
        <f>83.341-75</f>
        <v>8.340999999999994</v>
      </c>
      <c r="P27" s="292">
        <f>P26*O27/O26</f>
        <v>0.33363999999999977</v>
      </c>
    </row>
    <row r="28" spans="1:26" ht="24" customHeight="1">
      <c r="A28" s="309" t="s">
        <v>24</v>
      </c>
      <c r="B28" s="352"/>
      <c r="C28" s="320"/>
      <c r="D28" s="320"/>
      <c r="E28" s="320"/>
      <c r="F28" s="335" t="s">
        <v>137</v>
      </c>
      <c r="G28" s="335" t="s">
        <v>138</v>
      </c>
      <c r="H28" s="531" t="s">
        <v>147</v>
      </c>
      <c r="I28" s="535"/>
      <c r="J28" s="535"/>
      <c r="K28" s="532"/>
      <c r="L28" s="307"/>
      <c r="M28" s="308"/>
      <c r="Q28" s="298" t="s">
        <v>238</v>
      </c>
      <c r="W28" s="563" t="s">
        <v>229</v>
      </c>
      <c r="X28" s="563" t="s">
        <v>330</v>
      </c>
      <c r="Y28" s="437" t="s">
        <v>51</v>
      </c>
    </row>
    <row r="29" spans="1:26" ht="24" customHeight="1">
      <c r="A29" s="309"/>
      <c r="B29" s="352"/>
      <c r="C29" s="320"/>
      <c r="D29" s="320"/>
      <c r="E29" s="320"/>
      <c r="F29" s="320"/>
      <c r="G29" s="320"/>
      <c r="H29" s="531" t="s">
        <v>180</v>
      </c>
      <c r="I29" s="535"/>
      <c r="J29" s="535"/>
      <c r="K29" s="532"/>
      <c r="L29" s="307"/>
      <c r="M29" s="308"/>
      <c r="Q29" s="462">
        <v>2</v>
      </c>
      <c r="R29" s="463" t="s">
        <v>273</v>
      </c>
      <c r="S29" s="455"/>
      <c r="T29" s="455"/>
      <c r="U29" s="455"/>
      <c r="V29" s="456"/>
      <c r="W29" s="464">
        <v>350000</v>
      </c>
      <c r="X29" s="472">
        <v>291695.12</v>
      </c>
      <c r="Y29" s="436">
        <f>X29*100/W29</f>
        <v>83.341462857142858</v>
      </c>
      <c r="Z29" s="292" t="s">
        <v>51</v>
      </c>
    </row>
    <row r="30" spans="1:26" ht="24" customHeight="1">
      <c r="A30" s="309"/>
      <c r="B30" s="352"/>
      <c r="C30" s="320"/>
      <c r="D30" s="320"/>
      <c r="E30" s="320"/>
      <c r="F30" s="320"/>
      <c r="G30" s="311"/>
      <c r="H30" s="531"/>
      <c r="I30" s="323" t="s">
        <v>56</v>
      </c>
      <c r="J30" s="564">
        <f>Y29</f>
        <v>83.341462857142858</v>
      </c>
      <c r="K30" s="532" t="s">
        <v>51</v>
      </c>
      <c r="L30" s="307"/>
      <c r="M30" s="308"/>
    </row>
    <row r="31" spans="1:26" ht="24" customHeight="1">
      <c r="A31" s="309"/>
      <c r="B31" s="352"/>
      <c r="C31" s="320"/>
      <c r="D31" s="320"/>
      <c r="E31" s="320"/>
      <c r="F31" s="320"/>
      <c r="G31" s="320"/>
      <c r="H31" s="333"/>
      <c r="I31" s="306"/>
      <c r="J31" s="306"/>
      <c r="K31" s="312"/>
      <c r="L31" s="307"/>
      <c r="M31" s="308"/>
    </row>
    <row r="32" spans="1:26" ht="24" customHeight="1">
      <c r="A32" s="302" t="s">
        <v>181</v>
      </c>
      <c r="B32" s="403">
        <v>4</v>
      </c>
      <c r="C32" s="332">
        <v>0.96</v>
      </c>
      <c r="D32" s="332">
        <v>0.97</v>
      </c>
      <c r="E32" s="332">
        <v>0.98</v>
      </c>
      <c r="F32" s="332">
        <v>0.99</v>
      </c>
      <c r="G32" s="332">
        <v>1</v>
      </c>
      <c r="H32" s="536" t="s">
        <v>148</v>
      </c>
      <c r="I32" s="533"/>
      <c r="J32" s="533"/>
      <c r="K32" s="534"/>
      <c r="L32" s="304">
        <v>1</v>
      </c>
      <c r="M32" s="305">
        <f>IF(L32=0,"-",ROUND(L32*B32/B$81,4))</f>
        <v>5.5599999999999997E-2</v>
      </c>
      <c r="N32" s="559" t="s">
        <v>331</v>
      </c>
    </row>
    <row r="33" spans="1:32" ht="24" customHeight="1">
      <c r="A33" s="309" t="s">
        <v>26</v>
      </c>
      <c r="B33" s="352"/>
      <c r="C33" s="320"/>
      <c r="D33" s="320"/>
      <c r="E33" s="320"/>
      <c r="F33" s="320"/>
      <c r="G33" s="320"/>
      <c r="H33" s="380" t="s">
        <v>149</v>
      </c>
      <c r="I33" s="381"/>
      <c r="J33" s="381"/>
      <c r="K33" s="382"/>
      <c r="L33" s="307"/>
      <c r="M33" s="308"/>
      <c r="N33" s="495" t="s">
        <v>237</v>
      </c>
    </row>
    <row r="34" spans="1:32" ht="24" customHeight="1">
      <c r="A34" s="309"/>
      <c r="B34" s="352"/>
      <c r="C34" s="320"/>
      <c r="D34" s="320"/>
      <c r="E34" s="320"/>
      <c r="F34" s="320"/>
      <c r="G34" s="320"/>
      <c r="H34" s="380" t="s">
        <v>75</v>
      </c>
      <c r="I34" s="381"/>
      <c r="J34" s="381"/>
      <c r="K34" s="382"/>
      <c r="L34" s="307"/>
      <c r="M34" s="308"/>
    </row>
    <row r="35" spans="1:32" ht="24" customHeight="1">
      <c r="A35" s="309"/>
      <c r="B35" s="352"/>
      <c r="C35" s="320"/>
      <c r="D35" s="320"/>
      <c r="E35" s="320"/>
      <c r="F35" s="320"/>
      <c r="G35" s="320"/>
      <c r="H35" s="380" t="s">
        <v>182</v>
      </c>
      <c r="I35" s="383"/>
      <c r="J35" s="383"/>
      <c r="K35" s="384"/>
      <c r="L35" s="307"/>
      <c r="M35" s="308"/>
    </row>
    <row r="36" spans="1:32" ht="24" customHeight="1">
      <c r="A36" s="309"/>
      <c r="B36" s="352"/>
      <c r="C36" s="320"/>
      <c r="D36" s="320"/>
      <c r="E36" s="320"/>
      <c r="F36" s="320"/>
      <c r="G36" s="311"/>
      <c r="H36" s="531"/>
      <c r="I36" s="323" t="s">
        <v>56</v>
      </c>
      <c r="J36" s="324">
        <v>0</v>
      </c>
      <c r="K36" s="532" t="s">
        <v>51</v>
      </c>
      <c r="L36" s="307"/>
      <c r="M36" s="308"/>
    </row>
    <row r="37" spans="1:32" ht="24" customHeight="1">
      <c r="A37" s="325"/>
      <c r="B37" s="359"/>
      <c r="C37" s="310"/>
      <c r="D37" s="310"/>
      <c r="E37" s="310"/>
      <c r="F37" s="310"/>
      <c r="G37" s="310"/>
      <c r="H37" s="329"/>
      <c r="I37" s="427"/>
      <c r="J37" s="427"/>
      <c r="K37" s="428"/>
      <c r="L37" s="326"/>
      <c r="M37" s="299"/>
    </row>
    <row r="38" spans="1:32" ht="24" customHeight="1">
      <c r="A38" s="302" t="s">
        <v>184</v>
      </c>
      <c r="B38" s="403">
        <v>4</v>
      </c>
      <c r="C38" s="332">
        <v>0.5</v>
      </c>
      <c r="D38" s="332">
        <v>0.75</v>
      </c>
      <c r="E38" s="332">
        <v>1</v>
      </c>
      <c r="F38" s="332">
        <v>1</v>
      </c>
      <c r="G38" s="332">
        <v>1</v>
      </c>
      <c r="H38" s="536" t="s">
        <v>152</v>
      </c>
      <c r="I38" s="533"/>
      <c r="J38" s="533"/>
      <c r="K38" s="534"/>
      <c r="L38" s="304">
        <v>1</v>
      </c>
      <c r="M38" s="305">
        <f>IF(L38=0,"-",ROUND(L38*B38/B$81,4))</f>
        <v>5.5599999999999997E-2</v>
      </c>
      <c r="N38" s="292" t="s">
        <v>332</v>
      </c>
    </row>
    <row r="39" spans="1:32" ht="24" customHeight="1">
      <c r="A39" s="309" t="s">
        <v>151</v>
      </c>
      <c r="B39" s="406"/>
      <c r="C39" s="335"/>
      <c r="D39" s="335"/>
      <c r="E39" s="335"/>
      <c r="F39" s="335" t="s">
        <v>70</v>
      </c>
      <c r="G39" s="335" t="s">
        <v>70</v>
      </c>
      <c r="H39" s="535" t="s">
        <v>153</v>
      </c>
      <c r="I39" s="535"/>
      <c r="J39" s="535"/>
      <c r="K39" s="532"/>
      <c r="L39" s="307"/>
      <c r="M39" s="308"/>
      <c r="N39" s="495" t="s">
        <v>237</v>
      </c>
    </row>
    <row r="40" spans="1:32" ht="24" customHeight="1">
      <c r="A40" s="309"/>
      <c r="B40" s="406"/>
      <c r="C40" s="335"/>
      <c r="D40" s="335"/>
      <c r="E40" s="335"/>
      <c r="F40" s="335" t="s">
        <v>137</v>
      </c>
      <c r="G40" s="335" t="s">
        <v>138</v>
      </c>
      <c r="H40" s="535" t="s">
        <v>180</v>
      </c>
      <c r="I40" s="535"/>
      <c r="J40" s="535"/>
      <c r="K40" s="532"/>
      <c r="L40" s="307"/>
      <c r="M40" s="308"/>
    </row>
    <row r="41" spans="1:32" ht="24" customHeight="1">
      <c r="A41" s="309"/>
      <c r="B41" s="406"/>
      <c r="C41" s="336"/>
      <c r="D41" s="336"/>
      <c r="E41" s="336"/>
      <c r="F41" s="336"/>
      <c r="G41" s="390"/>
      <c r="H41" s="531"/>
      <c r="I41" s="323" t="s">
        <v>56</v>
      </c>
      <c r="J41" s="324">
        <v>0</v>
      </c>
      <c r="K41" s="532" t="s">
        <v>51</v>
      </c>
      <c r="L41" s="307"/>
      <c r="M41" s="308"/>
      <c r="R41" s="349"/>
    </row>
    <row r="42" spans="1:32" ht="24" customHeight="1">
      <c r="A42" s="325"/>
      <c r="B42" s="359"/>
      <c r="C42" s="310"/>
      <c r="D42" s="310"/>
      <c r="E42" s="310"/>
      <c r="F42" s="310"/>
      <c r="G42" s="310"/>
      <c r="H42" s="527"/>
      <c r="I42" s="528"/>
      <c r="J42" s="528"/>
      <c r="K42" s="529"/>
      <c r="L42" s="326"/>
      <c r="M42" s="299"/>
    </row>
    <row r="43" spans="1:32" ht="24" customHeight="1">
      <c r="A43" s="302" t="s">
        <v>185</v>
      </c>
      <c r="B43" s="403">
        <v>12</v>
      </c>
      <c r="C43" s="332">
        <v>0.78</v>
      </c>
      <c r="D43" s="332">
        <v>0.81</v>
      </c>
      <c r="E43" s="332">
        <v>0.84</v>
      </c>
      <c r="F43" s="332">
        <v>0.87</v>
      </c>
      <c r="G43" s="332">
        <v>0.9</v>
      </c>
      <c r="H43" s="536" t="s">
        <v>186</v>
      </c>
      <c r="I43" s="533"/>
      <c r="J43" s="533"/>
      <c r="K43" s="534"/>
      <c r="L43" s="304">
        <f>1+P45</f>
        <v>1.5286360379724138</v>
      </c>
      <c r="M43" s="305">
        <f>IF(L43=0,"-",ROUND(L43*B43/B$81,4))</f>
        <v>0.25480000000000003</v>
      </c>
      <c r="N43" s="559" t="s">
        <v>333</v>
      </c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  <c r="AE43" s="298"/>
      <c r="AF43" s="298"/>
    </row>
    <row r="44" spans="1:32" ht="24" customHeight="1">
      <c r="A44" s="309" t="s">
        <v>334</v>
      </c>
      <c r="B44" s="352"/>
      <c r="C44" s="320"/>
      <c r="D44" s="320"/>
      <c r="E44" s="320"/>
      <c r="F44" s="320"/>
      <c r="G44" s="320"/>
      <c r="H44" s="531" t="s">
        <v>196</v>
      </c>
      <c r="I44" s="535"/>
      <c r="J44" s="535"/>
      <c r="K44" s="532"/>
      <c r="L44" s="307"/>
      <c r="M44" s="308"/>
      <c r="N44" s="495" t="s">
        <v>237</v>
      </c>
      <c r="O44" s="356">
        <v>3</v>
      </c>
      <c r="P44" s="356">
        <v>1</v>
      </c>
      <c r="Q44" s="356"/>
      <c r="R44" s="356"/>
      <c r="S44" s="356"/>
      <c r="T44" s="356"/>
      <c r="U44" s="356"/>
      <c r="V44" s="356"/>
      <c r="W44" s="356"/>
      <c r="X44" s="356"/>
      <c r="Y44" s="356"/>
      <c r="Z44" s="356"/>
      <c r="AA44" s="356"/>
      <c r="AB44" s="356"/>
      <c r="AC44" s="356"/>
      <c r="AD44" s="356"/>
      <c r="AE44" s="356"/>
      <c r="AF44" s="356"/>
    </row>
    <row r="45" spans="1:32" ht="24" customHeight="1">
      <c r="A45" s="309"/>
      <c r="B45" s="352"/>
      <c r="C45" s="320"/>
      <c r="D45" s="320"/>
      <c r="E45" s="320"/>
      <c r="F45" s="320"/>
      <c r="G45" s="320"/>
      <c r="H45" s="327"/>
      <c r="I45" s="327" t="s">
        <v>87</v>
      </c>
      <c r="J45" s="433">
        <v>595520000</v>
      </c>
      <c r="K45" s="532" t="s">
        <v>187</v>
      </c>
      <c r="L45" s="307"/>
      <c r="M45" s="308"/>
      <c r="O45" s="357">
        <f>J47-78</f>
        <v>1.5859081139172417</v>
      </c>
      <c r="P45" s="356">
        <f>P44*O45/O44</f>
        <v>0.52863603797241387</v>
      </c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</row>
    <row r="46" spans="1:32" ht="24" customHeight="1">
      <c r="A46" s="309"/>
      <c r="B46" s="352"/>
      <c r="C46" s="320"/>
      <c r="D46" s="320"/>
      <c r="E46" s="320"/>
      <c r="F46" s="320"/>
      <c r="G46" s="320"/>
      <c r="H46" s="327"/>
      <c r="I46" s="323" t="s">
        <v>188</v>
      </c>
      <c r="J46" s="434">
        <v>473950000</v>
      </c>
      <c r="K46" s="532" t="s">
        <v>187</v>
      </c>
      <c r="L46" s="307"/>
      <c r="M46" s="308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  <c r="AE46" s="356"/>
      <c r="AF46" s="356"/>
    </row>
    <row r="47" spans="1:32" ht="24" customHeight="1">
      <c r="A47" s="309"/>
      <c r="B47" s="352"/>
      <c r="C47" s="320"/>
      <c r="D47" s="320"/>
      <c r="E47" s="320"/>
      <c r="F47" s="320"/>
      <c r="G47" s="320"/>
      <c r="H47" s="327"/>
      <c r="I47" s="323" t="s">
        <v>189</v>
      </c>
      <c r="J47" s="430">
        <f>J46*100/J45</f>
        <v>79.585908113917242</v>
      </c>
      <c r="K47" s="532" t="s">
        <v>51</v>
      </c>
      <c r="L47" s="307"/>
      <c r="M47" s="308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</row>
    <row r="48" spans="1:32" ht="24" customHeight="1">
      <c r="A48" s="325"/>
      <c r="B48" s="359"/>
      <c r="C48" s="310"/>
      <c r="D48" s="310"/>
      <c r="E48" s="310"/>
      <c r="F48" s="310"/>
      <c r="G48" s="310"/>
      <c r="H48" s="337"/>
      <c r="I48" s="427"/>
      <c r="J48" s="338"/>
      <c r="K48" s="428"/>
      <c r="L48" s="326"/>
      <c r="M48" s="299"/>
      <c r="O48" s="356"/>
      <c r="P48" s="356"/>
      <c r="Q48" s="356"/>
      <c r="R48" s="356"/>
      <c r="S48" s="356"/>
      <c r="T48" s="356"/>
      <c r="U48" s="356"/>
      <c r="V48" s="357"/>
      <c r="W48" s="356"/>
      <c r="X48" s="356"/>
      <c r="Y48" s="356"/>
      <c r="Z48" s="356"/>
      <c r="AA48" s="356"/>
      <c r="AB48" s="356"/>
      <c r="AC48" s="356"/>
      <c r="AD48" s="356"/>
      <c r="AE48" s="356"/>
      <c r="AF48" s="356"/>
    </row>
    <row r="49" spans="1:32" ht="24" customHeight="1">
      <c r="A49" s="339" t="s">
        <v>190</v>
      </c>
      <c r="B49" s="407">
        <v>4</v>
      </c>
      <c r="C49" s="340">
        <v>0.65</v>
      </c>
      <c r="D49" s="340">
        <v>0.7</v>
      </c>
      <c r="E49" s="340">
        <v>0.75</v>
      </c>
      <c r="F49" s="340">
        <v>0.8</v>
      </c>
      <c r="G49" s="340">
        <v>0.85</v>
      </c>
      <c r="H49" s="536" t="s">
        <v>156</v>
      </c>
      <c r="I49" s="533"/>
      <c r="J49" s="533"/>
      <c r="K49" s="534"/>
      <c r="L49" s="304">
        <v>1</v>
      </c>
      <c r="M49" s="305">
        <f>IF(L49=0,"-",ROUND(L49*B49/B$81,4))</f>
        <v>5.5599999999999997E-2</v>
      </c>
      <c r="O49" s="356"/>
      <c r="P49" s="356"/>
      <c r="Q49" s="356"/>
      <c r="R49" s="356"/>
      <c r="S49" s="356"/>
      <c r="T49" s="356"/>
      <c r="U49" s="356"/>
      <c r="V49" s="357"/>
      <c r="W49" s="356"/>
      <c r="X49" s="356"/>
      <c r="Y49" s="356"/>
      <c r="Z49" s="356"/>
      <c r="AA49" s="356"/>
      <c r="AB49" s="356"/>
      <c r="AC49" s="356"/>
      <c r="AD49" s="356"/>
      <c r="AE49" s="356"/>
      <c r="AF49" s="356"/>
    </row>
    <row r="50" spans="1:32" ht="24" customHeight="1">
      <c r="A50" s="309" t="s">
        <v>145</v>
      </c>
      <c r="B50" s="352"/>
      <c r="C50" s="320"/>
      <c r="D50" s="320"/>
      <c r="E50" s="320"/>
      <c r="F50" s="320"/>
      <c r="G50" s="320"/>
      <c r="H50" s="531" t="s">
        <v>104</v>
      </c>
      <c r="I50" s="535"/>
      <c r="J50" s="535"/>
      <c r="K50" s="532"/>
      <c r="L50" s="307"/>
      <c r="M50" s="308"/>
      <c r="N50" s="495" t="s">
        <v>237</v>
      </c>
    </row>
    <row r="51" spans="1:32" ht="24" customHeight="1">
      <c r="A51" s="389" t="s">
        <v>155</v>
      </c>
      <c r="B51" s="352"/>
      <c r="C51" s="320"/>
      <c r="D51" s="320"/>
      <c r="E51" s="320"/>
      <c r="F51" s="320"/>
      <c r="G51" s="320"/>
      <c r="H51" s="531" t="s">
        <v>105</v>
      </c>
      <c r="I51" s="535"/>
      <c r="J51" s="535"/>
      <c r="K51" s="532"/>
      <c r="L51" s="307"/>
      <c r="M51" s="308"/>
    </row>
    <row r="52" spans="1:32" ht="24" customHeight="1">
      <c r="A52" s="309"/>
      <c r="B52" s="352"/>
      <c r="C52" s="320"/>
      <c r="D52" s="320"/>
      <c r="E52" s="320"/>
      <c r="F52" s="320"/>
      <c r="G52" s="320"/>
      <c r="H52" s="341"/>
      <c r="I52" s="342" t="s">
        <v>113</v>
      </c>
      <c r="J52" s="343" t="s">
        <v>11</v>
      </c>
      <c r="K52" s="532" t="s">
        <v>51</v>
      </c>
      <c r="L52" s="307"/>
      <c r="M52" s="308"/>
    </row>
    <row r="53" spans="1:32" ht="24" customHeight="1">
      <c r="A53" s="325"/>
      <c r="B53" s="359"/>
      <c r="C53" s="310"/>
      <c r="D53" s="310"/>
      <c r="E53" s="310"/>
      <c r="F53" s="310"/>
      <c r="G53" s="416"/>
      <c r="H53" s="705" t="s">
        <v>211</v>
      </c>
      <c r="I53" s="706"/>
      <c r="J53" s="706"/>
      <c r="K53" s="707"/>
      <c r="L53" s="326"/>
      <c r="M53" s="299"/>
    </row>
    <row r="54" spans="1:32" ht="24" customHeight="1">
      <c r="A54" s="302" t="s">
        <v>106</v>
      </c>
      <c r="B54" s="407">
        <v>4</v>
      </c>
      <c r="C54" s="346" t="s">
        <v>29</v>
      </c>
      <c r="D54" s="346" t="s">
        <v>30</v>
      </c>
      <c r="E54" s="346" t="s">
        <v>31</v>
      </c>
      <c r="F54" s="346" t="s">
        <v>32</v>
      </c>
      <c r="G54" s="346" t="s">
        <v>33</v>
      </c>
      <c r="H54" s="536" t="s">
        <v>108</v>
      </c>
      <c r="I54" s="533"/>
      <c r="J54" s="533"/>
      <c r="K54" s="534"/>
      <c r="L54" s="304">
        <v>2</v>
      </c>
      <c r="M54" s="305">
        <f>IF(L54=0,"-",ROUND(L54*B54/B$81,4))</f>
        <v>0.1111</v>
      </c>
    </row>
    <row r="55" spans="1:32" ht="24" customHeight="1">
      <c r="A55" s="309" t="s">
        <v>107</v>
      </c>
      <c r="B55" s="352"/>
      <c r="C55" s="348">
        <v>1.5</v>
      </c>
      <c r="D55" s="348">
        <v>2</v>
      </c>
      <c r="E55" s="348">
        <v>2.5</v>
      </c>
      <c r="F55" s="348">
        <v>3</v>
      </c>
      <c r="G55" s="348">
        <v>5</v>
      </c>
      <c r="H55" s="531" t="s">
        <v>146</v>
      </c>
      <c r="I55" s="535"/>
      <c r="J55" s="535"/>
      <c r="K55" s="532"/>
      <c r="L55" s="307"/>
      <c r="M55" s="308"/>
      <c r="N55" s="495" t="s">
        <v>237</v>
      </c>
    </row>
    <row r="56" spans="1:32" ht="24" customHeight="1">
      <c r="A56" s="309"/>
      <c r="B56" s="352"/>
      <c r="C56" s="344"/>
      <c r="D56" s="344"/>
      <c r="E56" s="344"/>
      <c r="F56" s="344"/>
      <c r="G56" s="344"/>
      <c r="H56" s="531" t="s">
        <v>110</v>
      </c>
      <c r="I56" s="535"/>
      <c r="J56" s="535"/>
      <c r="K56" s="532"/>
      <c r="L56" s="307"/>
      <c r="M56" s="308"/>
    </row>
    <row r="57" spans="1:32" ht="23.25">
      <c r="A57" s="309"/>
      <c r="B57" s="352"/>
      <c r="C57" s="344"/>
      <c r="D57" s="344"/>
      <c r="E57" s="344"/>
      <c r="F57" s="344"/>
      <c r="G57" s="344"/>
      <c r="H57" s="531" t="s">
        <v>191</v>
      </c>
      <c r="I57" s="535"/>
      <c r="J57" s="535"/>
      <c r="K57" s="532"/>
      <c r="L57" s="307"/>
      <c r="M57" s="308"/>
    </row>
    <row r="58" spans="1:32" ht="23.25">
      <c r="A58" s="309"/>
      <c r="B58" s="352"/>
      <c r="C58" s="344"/>
      <c r="D58" s="344"/>
      <c r="E58" s="344"/>
      <c r="F58" s="344"/>
      <c r="G58" s="344"/>
      <c r="H58" s="531"/>
      <c r="I58" s="323" t="s">
        <v>112</v>
      </c>
      <c r="J58" s="324">
        <v>2</v>
      </c>
      <c r="K58" s="382"/>
      <c r="L58" s="307"/>
      <c r="M58" s="308"/>
    </row>
    <row r="59" spans="1:32" ht="23.25">
      <c r="A59" s="325"/>
      <c r="B59" s="359"/>
      <c r="C59" s="310"/>
      <c r="D59" s="310"/>
      <c r="E59" s="310"/>
      <c r="F59" s="310"/>
      <c r="G59" s="310"/>
      <c r="H59" s="705"/>
      <c r="I59" s="706"/>
      <c r="J59" s="706"/>
      <c r="K59" s="707"/>
      <c r="L59" s="326"/>
      <c r="M59" s="299"/>
    </row>
    <row r="60" spans="1:32" ht="23.25">
      <c r="A60" s="350" t="s">
        <v>132</v>
      </c>
      <c r="B60" s="407">
        <v>4</v>
      </c>
      <c r="C60" s="340">
        <v>0.1</v>
      </c>
      <c r="D60" s="340">
        <v>0.3</v>
      </c>
      <c r="E60" s="340">
        <v>0.5</v>
      </c>
      <c r="F60" s="340">
        <v>0.7</v>
      </c>
      <c r="G60" s="340">
        <v>1</v>
      </c>
      <c r="H60" s="536" t="s">
        <v>123</v>
      </c>
      <c r="I60" s="533"/>
      <c r="J60" s="533"/>
      <c r="K60" s="534"/>
      <c r="L60" s="304">
        <v>5</v>
      </c>
      <c r="M60" s="305">
        <f>IF(L60=0,"-",ROUND(L60*B60/B$81,4))</f>
        <v>0.27779999999999999</v>
      </c>
      <c r="N60" s="542" t="s">
        <v>202</v>
      </c>
    </row>
    <row r="61" spans="1:32" ht="23.25">
      <c r="A61" s="351" t="s">
        <v>192</v>
      </c>
      <c r="B61" s="352"/>
      <c r="C61" s="320"/>
      <c r="D61" s="320"/>
      <c r="E61" s="320"/>
      <c r="F61" s="320"/>
      <c r="G61" s="311"/>
      <c r="H61" s="531" t="s">
        <v>124</v>
      </c>
      <c r="I61" s="322"/>
      <c r="J61" s="353"/>
      <c r="K61" s="354"/>
      <c r="L61" s="355"/>
      <c r="M61" s="308"/>
      <c r="N61" s="495" t="s">
        <v>237</v>
      </c>
    </row>
    <row r="62" spans="1:32" ht="23.25">
      <c r="A62" s="351"/>
      <c r="B62" s="352"/>
      <c r="C62" s="320"/>
      <c r="D62" s="320"/>
      <c r="E62" s="320"/>
      <c r="F62" s="320"/>
      <c r="G62" s="320"/>
      <c r="H62" s="535" t="s">
        <v>125</v>
      </c>
      <c r="I62" s="322"/>
      <c r="J62" s="353"/>
      <c r="K62" s="354"/>
      <c r="L62" s="355"/>
      <c r="M62" s="308"/>
    </row>
    <row r="63" spans="1:32" ht="23.25">
      <c r="A63" s="351"/>
      <c r="B63" s="352"/>
      <c r="C63" s="320"/>
      <c r="D63" s="320"/>
      <c r="E63" s="320"/>
      <c r="F63" s="320"/>
      <c r="G63" s="320"/>
      <c r="H63" s="531" t="s">
        <v>126</v>
      </c>
      <c r="I63" s="322"/>
      <c r="J63" s="353"/>
      <c r="K63" s="354"/>
      <c r="L63" s="355"/>
      <c r="M63" s="308"/>
    </row>
    <row r="64" spans="1:32" ht="23.25">
      <c r="A64" s="351"/>
      <c r="B64" s="352"/>
      <c r="C64" s="320"/>
      <c r="D64" s="320"/>
      <c r="E64" s="320"/>
      <c r="F64" s="320"/>
      <c r="G64" s="320"/>
      <c r="H64" s="531" t="s">
        <v>127</v>
      </c>
      <c r="I64" s="322"/>
      <c r="J64" s="353"/>
      <c r="K64" s="354"/>
      <c r="L64" s="355"/>
      <c r="M64" s="308"/>
    </row>
    <row r="65" spans="1:14" ht="23.25">
      <c r="A65" s="351"/>
      <c r="B65" s="352"/>
      <c r="C65" s="320"/>
      <c r="D65" s="320"/>
      <c r="E65" s="320"/>
      <c r="F65" s="320"/>
      <c r="G65" s="320"/>
      <c r="H65" s="531"/>
      <c r="I65" s="323" t="s">
        <v>114</v>
      </c>
      <c r="J65" s="408">
        <v>100</v>
      </c>
      <c r="K65" s="382" t="s">
        <v>51</v>
      </c>
      <c r="L65" s="355"/>
      <c r="M65" s="308"/>
    </row>
    <row r="66" spans="1:14" ht="23.25">
      <c r="A66" s="358"/>
      <c r="B66" s="359"/>
      <c r="C66" s="310"/>
      <c r="D66" s="310"/>
      <c r="E66" s="310"/>
      <c r="F66" s="310"/>
      <c r="G66" s="310"/>
      <c r="H66" s="330"/>
      <c r="I66" s="427"/>
      <c r="J66" s="427"/>
      <c r="K66" s="428"/>
      <c r="L66" s="360"/>
      <c r="M66" s="299"/>
    </row>
    <row r="67" spans="1:14" ht="23.25">
      <c r="A67" s="302" t="s">
        <v>115</v>
      </c>
      <c r="B67" s="407">
        <v>4</v>
      </c>
      <c r="C67" s="361">
        <v>0.8</v>
      </c>
      <c r="D67" s="361">
        <v>0.85</v>
      </c>
      <c r="E67" s="361">
        <v>0.9</v>
      </c>
      <c r="F67" s="361">
        <v>0.95</v>
      </c>
      <c r="G67" s="361">
        <v>1</v>
      </c>
      <c r="H67" s="536" t="s">
        <v>157</v>
      </c>
      <c r="I67" s="533"/>
      <c r="J67" s="533"/>
      <c r="K67" s="534"/>
      <c r="L67" s="304">
        <v>5</v>
      </c>
      <c r="M67" s="305">
        <f>IF(L67=0,"-",ROUND(L67*B67/B$81,4))</f>
        <v>0.27779999999999999</v>
      </c>
      <c r="N67" s="429" t="s">
        <v>203</v>
      </c>
    </row>
    <row r="68" spans="1:14" ht="23.25">
      <c r="A68" s="309" t="s">
        <v>116</v>
      </c>
      <c r="B68" s="352"/>
      <c r="C68" s="348"/>
      <c r="D68" s="348"/>
      <c r="E68" s="348"/>
      <c r="F68" s="348"/>
      <c r="G68" s="348"/>
      <c r="H68" s="531" t="s">
        <v>158</v>
      </c>
      <c r="I68" s="535"/>
      <c r="J68" s="535"/>
      <c r="K68" s="532"/>
      <c r="L68" s="362"/>
      <c r="M68" s="308"/>
      <c r="N68" s="495" t="s">
        <v>237</v>
      </c>
    </row>
    <row r="69" spans="1:14" ht="23.25">
      <c r="A69" s="309" t="s">
        <v>193</v>
      </c>
      <c r="B69" s="352"/>
      <c r="C69" s="320"/>
      <c r="D69" s="320"/>
      <c r="E69" s="320"/>
      <c r="F69" s="320"/>
      <c r="G69" s="320"/>
      <c r="H69" s="531" t="s">
        <v>197</v>
      </c>
      <c r="I69" s="535"/>
      <c r="J69" s="535"/>
      <c r="K69" s="532"/>
      <c r="L69" s="362"/>
      <c r="M69" s="308"/>
    </row>
    <row r="70" spans="1:14" ht="23.25">
      <c r="A70" s="309"/>
      <c r="B70" s="352"/>
      <c r="C70" s="320"/>
      <c r="D70" s="320"/>
      <c r="E70" s="320"/>
      <c r="F70" s="320"/>
      <c r="G70" s="320"/>
      <c r="H70" s="531" t="s">
        <v>120</v>
      </c>
      <c r="I70" s="535"/>
      <c r="J70" s="535"/>
      <c r="K70" s="532"/>
      <c r="L70" s="362"/>
      <c r="M70" s="308"/>
    </row>
    <row r="71" spans="1:14" ht="23.25">
      <c r="A71" s="309"/>
      <c r="B71" s="352"/>
      <c r="C71" s="320"/>
      <c r="D71" s="320"/>
      <c r="E71" s="320"/>
      <c r="F71" s="320"/>
      <c r="G71" s="320"/>
      <c r="H71" s="531" t="s">
        <v>194</v>
      </c>
      <c r="I71" s="535"/>
      <c r="J71" s="535"/>
      <c r="K71" s="532"/>
      <c r="L71" s="362"/>
      <c r="M71" s="308"/>
    </row>
    <row r="72" spans="1:14" ht="23.25">
      <c r="A72" s="309"/>
      <c r="B72" s="352"/>
      <c r="C72" s="320"/>
      <c r="D72" s="320"/>
      <c r="E72" s="320"/>
      <c r="F72" s="320"/>
      <c r="G72" s="344"/>
      <c r="H72" s="531" t="s">
        <v>195</v>
      </c>
      <c r="I72" s="345"/>
      <c r="J72" s="408">
        <v>100</v>
      </c>
      <c r="K72" s="414" t="s">
        <v>51</v>
      </c>
      <c r="L72" s="413"/>
      <c r="M72" s="308"/>
    </row>
    <row r="73" spans="1:14" ht="23.25">
      <c r="A73" s="358"/>
      <c r="B73" s="415"/>
      <c r="C73" s="412"/>
      <c r="D73" s="412"/>
      <c r="E73" s="412"/>
      <c r="F73" s="412"/>
      <c r="G73" s="329"/>
      <c r="H73" s="538"/>
      <c r="I73" s="418"/>
      <c r="J73" s="419"/>
      <c r="K73" s="417"/>
      <c r="L73" s="420"/>
      <c r="M73" s="308"/>
    </row>
    <row r="74" spans="1:14" ht="23.25">
      <c r="A74" s="351" t="s">
        <v>316</v>
      </c>
      <c r="B74" s="543">
        <v>4</v>
      </c>
      <c r="C74" s="544">
        <v>0.4</v>
      </c>
      <c r="D74" s="544">
        <v>0.45</v>
      </c>
      <c r="E74" s="544">
        <v>0.5</v>
      </c>
      <c r="F74" s="544">
        <v>0.55000000000000004</v>
      </c>
      <c r="G74" s="544">
        <v>0.6</v>
      </c>
      <c r="H74" s="531" t="s">
        <v>317</v>
      </c>
      <c r="I74" s="345"/>
      <c r="J74" s="545"/>
      <c r="K74" s="546"/>
      <c r="L74" s="355">
        <v>3</v>
      </c>
      <c r="M74" s="305">
        <f>IF(L74=0,"-",ROUND(L74*B74/B$81,4))</f>
        <v>0.16669999999999999</v>
      </c>
      <c r="N74" s="559" t="s">
        <v>332</v>
      </c>
    </row>
    <row r="75" spans="1:14" ht="23.25">
      <c r="A75" s="351" t="s">
        <v>318</v>
      </c>
      <c r="B75" s="406"/>
      <c r="C75" s="311"/>
      <c r="D75" s="311"/>
      <c r="E75" s="311"/>
      <c r="F75" s="311"/>
      <c r="G75" s="333"/>
      <c r="H75" s="531" t="s">
        <v>319</v>
      </c>
      <c r="I75" s="345"/>
      <c r="J75" s="545"/>
      <c r="K75" s="546"/>
      <c r="L75" s="413"/>
      <c r="M75" s="308"/>
      <c r="N75" s="495" t="s">
        <v>237</v>
      </c>
    </row>
    <row r="76" spans="1:14" ht="23.25">
      <c r="A76" s="351"/>
      <c r="B76" s="406"/>
      <c r="C76" s="311"/>
      <c r="D76" s="311"/>
      <c r="E76" s="311"/>
      <c r="F76" s="311"/>
      <c r="G76" s="333"/>
      <c r="H76" s="531"/>
      <c r="I76" s="345"/>
      <c r="J76" s="545"/>
      <c r="K76" s="546"/>
      <c r="L76" s="413"/>
      <c r="M76" s="308"/>
    </row>
    <row r="77" spans="1:14" ht="23.25">
      <c r="A77" s="351"/>
      <c r="B77" s="406"/>
      <c r="C77" s="311"/>
      <c r="D77" s="311"/>
      <c r="E77" s="311"/>
      <c r="F77" s="311"/>
      <c r="G77" s="333"/>
      <c r="H77" s="531"/>
      <c r="I77" s="345" t="s">
        <v>174</v>
      </c>
      <c r="J77" s="547">
        <v>50</v>
      </c>
      <c r="K77" s="414" t="s">
        <v>51</v>
      </c>
      <c r="L77" s="413"/>
      <c r="M77" s="308"/>
    </row>
    <row r="78" spans="1:14" ht="23.25">
      <c r="A78" s="351"/>
      <c r="B78" s="406"/>
      <c r="C78" s="311"/>
      <c r="D78" s="311"/>
      <c r="E78" s="311"/>
      <c r="F78" s="311"/>
      <c r="G78" s="333"/>
      <c r="H78" s="531"/>
      <c r="I78" s="345"/>
      <c r="J78" s="545"/>
      <c r="K78" s="546"/>
      <c r="L78" s="413"/>
      <c r="M78" s="308"/>
    </row>
    <row r="79" spans="1:14" ht="23.25">
      <c r="A79" s="351"/>
      <c r="B79" s="406"/>
      <c r="C79" s="311"/>
      <c r="D79" s="311"/>
      <c r="E79" s="311"/>
      <c r="F79" s="311"/>
      <c r="G79" s="333"/>
      <c r="H79" s="531"/>
      <c r="I79" s="345"/>
      <c r="J79" s="545"/>
      <c r="K79" s="546"/>
      <c r="L79" s="413"/>
      <c r="M79" s="308"/>
    </row>
    <row r="80" spans="1:14" ht="23.25">
      <c r="A80" s="358"/>
      <c r="B80" s="415"/>
      <c r="C80" s="412"/>
      <c r="D80" s="412"/>
      <c r="E80" s="412"/>
      <c r="F80" s="412"/>
      <c r="G80" s="416"/>
      <c r="H80" s="538"/>
      <c r="I80" s="345"/>
      <c r="J80" s="545"/>
      <c r="K80" s="417"/>
      <c r="L80" s="413"/>
      <c r="M80" s="308"/>
    </row>
    <row r="81" spans="1:13" ht="26.25">
      <c r="A81" s="363"/>
      <c r="B81" s="409">
        <f>ROUND(SUM(B6:B80),1)</f>
        <v>72</v>
      </c>
      <c r="C81" s="364"/>
      <c r="D81" s="364"/>
      <c r="E81" s="364"/>
      <c r="F81" s="364"/>
      <c r="G81" s="365"/>
      <c r="H81" s="364"/>
      <c r="I81" s="364"/>
      <c r="J81" s="364"/>
      <c r="K81" s="364"/>
      <c r="L81" s="366" t="s">
        <v>139</v>
      </c>
      <c r="M81" s="410">
        <f>(SUM(M6:M80))</f>
        <v>2.4648000000000003</v>
      </c>
    </row>
  </sheetData>
  <mergeCells count="22">
    <mergeCell ref="H14:K14"/>
    <mergeCell ref="A1:M1"/>
    <mergeCell ref="A2:M2"/>
    <mergeCell ref="C4:G4"/>
    <mergeCell ref="H4:K5"/>
    <mergeCell ref="L4:L5"/>
    <mergeCell ref="H6:I7"/>
    <mergeCell ref="J6:K6"/>
    <mergeCell ref="H9:I9"/>
    <mergeCell ref="H10:I10"/>
    <mergeCell ref="H11:I11"/>
    <mergeCell ref="H12:K12"/>
    <mergeCell ref="H13:K13"/>
    <mergeCell ref="H26:K26"/>
    <mergeCell ref="H53:K53"/>
    <mergeCell ref="H59:K59"/>
    <mergeCell ref="H15:K15"/>
    <mergeCell ref="H16:K16"/>
    <mergeCell ref="H18:K18"/>
    <mergeCell ref="H19:K19"/>
    <mergeCell ref="H20:K20"/>
    <mergeCell ref="H21:K21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5" max="12" man="1"/>
    <brk id="53" max="12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F77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21" width="9.140625" style="292"/>
    <col min="22" max="23" width="9.85546875" style="292" bestFit="1" customWidth="1"/>
    <col min="24" max="24" width="13.85546875" style="292" bestFit="1" customWidth="1"/>
    <col min="25" max="16384" width="9.140625" style="292"/>
  </cols>
  <sheetData>
    <row r="1" spans="1:26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26" ht="24" customHeight="1">
      <c r="A2" s="710" t="s">
        <v>335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26" ht="24" customHeight="1">
      <c r="A3" s="293" t="s">
        <v>321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6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</row>
    <row r="5" spans="1:26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719"/>
      <c r="M5" s="301" t="s">
        <v>9</v>
      </c>
    </row>
    <row r="6" spans="1:26" ht="24" customHeight="1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726" t="s">
        <v>141</v>
      </c>
      <c r="I6" s="722"/>
      <c r="J6" s="722"/>
      <c r="K6" s="723"/>
      <c r="L6" s="304">
        <v>1</v>
      </c>
      <c r="M6" s="305">
        <f>IF(L6=0,"-",ROUND(L6*B6/B$77,4))</f>
        <v>6.6699999999999995E-2</v>
      </c>
    </row>
    <row r="7" spans="1:26" ht="24" customHeight="1">
      <c r="A7" s="309" t="s">
        <v>44</v>
      </c>
      <c r="B7" s="399"/>
      <c r="C7" s="320"/>
      <c r="D7" s="320"/>
      <c r="E7" s="320"/>
      <c r="F7" s="320"/>
      <c r="G7" s="320"/>
      <c r="H7" s="720" t="s">
        <v>142</v>
      </c>
      <c r="I7" s="724"/>
      <c r="J7" s="724"/>
      <c r="K7" s="721"/>
      <c r="L7" s="307"/>
      <c r="M7" s="308"/>
      <c r="N7" s="429" t="s">
        <v>237</v>
      </c>
    </row>
    <row r="8" spans="1:26" ht="24" customHeight="1">
      <c r="A8" s="309"/>
      <c r="B8" s="399"/>
      <c r="C8" s="320"/>
      <c r="D8" s="320"/>
      <c r="E8" s="320"/>
      <c r="F8" s="320"/>
      <c r="G8" s="320"/>
      <c r="H8" s="720" t="s">
        <v>143</v>
      </c>
      <c r="I8" s="724"/>
      <c r="J8" s="724"/>
      <c r="K8" s="721"/>
      <c r="L8" s="307"/>
      <c r="M8" s="308"/>
    </row>
    <row r="9" spans="1:26" ht="24" customHeight="1">
      <c r="A9" s="309"/>
      <c r="B9" s="399"/>
      <c r="C9" s="320"/>
      <c r="D9" s="320"/>
      <c r="E9" s="320"/>
      <c r="F9" s="320"/>
      <c r="G9" s="320"/>
      <c r="H9" s="720" t="s">
        <v>144</v>
      </c>
      <c r="I9" s="724"/>
      <c r="J9" s="724"/>
      <c r="K9" s="721"/>
      <c r="L9" s="307"/>
      <c r="M9" s="308"/>
    </row>
    <row r="10" spans="1:26" ht="24" customHeight="1">
      <c r="A10" s="309"/>
      <c r="B10" s="399"/>
      <c r="C10" s="320"/>
      <c r="D10" s="320"/>
      <c r="E10" s="320"/>
      <c r="F10" s="320"/>
      <c r="G10" s="320"/>
      <c r="H10" s="720" t="s">
        <v>170</v>
      </c>
      <c r="I10" s="724"/>
      <c r="J10" s="724"/>
      <c r="K10" s="721"/>
      <c r="L10" s="307"/>
      <c r="M10" s="308"/>
    </row>
    <row r="11" spans="1:26" ht="24" customHeight="1">
      <c r="A11" s="309"/>
      <c r="B11" s="565"/>
      <c r="C11" s="320"/>
      <c r="D11" s="320"/>
      <c r="E11" s="320"/>
      <c r="F11" s="320"/>
      <c r="G11" s="320"/>
      <c r="I11" s="323" t="s">
        <v>54</v>
      </c>
      <c r="J11" s="324" t="s">
        <v>11</v>
      </c>
      <c r="K11" s="532" t="s">
        <v>51</v>
      </c>
      <c r="L11" s="307"/>
      <c r="M11" s="308"/>
    </row>
    <row r="12" spans="1:26" ht="24" customHeight="1">
      <c r="A12" s="325"/>
      <c r="B12" s="402"/>
      <c r="C12" s="310"/>
      <c r="D12" s="310"/>
      <c r="E12" s="310"/>
      <c r="F12" s="310"/>
      <c r="G12" s="310"/>
      <c r="H12" s="705" t="s">
        <v>212</v>
      </c>
      <c r="I12" s="706"/>
      <c r="J12" s="706"/>
      <c r="K12" s="707"/>
      <c r="L12" s="326"/>
      <c r="M12" s="299"/>
      <c r="X12" s="530" t="s">
        <v>324</v>
      </c>
      <c r="Y12" s="530" t="s">
        <v>240</v>
      </c>
    </row>
    <row r="13" spans="1:26" ht="24" customHeight="1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722" t="s">
        <v>171</v>
      </c>
      <c r="I13" s="722"/>
      <c r="J13" s="722"/>
      <c r="K13" s="723"/>
      <c r="L13" s="304">
        <f>2+O17</f>
        <v>2.761157771990983</v>
      </c>
      <c r="M13" s="305">
        <f>IF(L13=0,"-",ROUND(L13*B13/B$77,4))</f>
        <v>0.55220000000000002</v>
      </c>
      <c r="N13" s="429" t="s">
        <v>199</v>
      </c>
      <c r="O13" s="566" t="s">
        <v>336</v>
      </c>
      <c r="P13" s="566"/>
      <c r="Q13" s="566"/>
      <c r="R13" s="566"/>
      <c r="S13" s="566"/>
      <c r="T13" s="566"/>
      <c r="U13" s="566"/>
      <c r="V13" s="566"/>
      <c r="W13" s="566"/>
      <c r="X13" s="457">
        <v>10720300</v>
      </c>
      <c r="Y13" s="436">
        <v>98.09</v>
      </c>
    </row>
    <row r="14" spans="1:26" ht="24" customHeight="1">
      <c r="A14" s="309" t="s">
        <v>21</v>
      </c>
      <c r="B14" s="352"/>
      <c r="C14" s="320"/>
      <c r="D14" s="320"/>
      <c r="E14" s="320"/>
      <c r="F14" s="320"/>
      <c r="G14" s="320"/>
      <c r="H14" s="720" t="s">
        <v>83</v>
      </c>
      <c r="I14" s="724"/>
      <c r="J14" s="724"/>
      <c r="K14" s="721"/>
      <c r="L14" s="307"/>
      <c r="M14" s="308"/>
      <c r="N14" s="495" t="s">
        <v>237</v>
      </c>
      <c r="O14" s="436" t="s">
        <v>337</v>
      </c>
      <c r="P14" s="436"/>
      <c r="Q14" s="436"/>
      <c r="R14" s="436"/>
      <c r="S14" s="436"/>
      <c r="T14" s="436"/>
      <c r="U14" s="454"/>
      <c r="V14" s="455"/>
      <c r="W14" s="456"/>
      <c r="X14" s="567">
        <v>65182800</v>
      </c>
      <c r="Y14" s="436">
        <v>88.620999999999995</v>
      </c>
    </row>
    <row r="15" spans="1:26" ht="24" customHeight="1">
      <c r="A15" s="309"/>
      <c r="B15" s="352"/>
      <c r="C15" s="320"/>
      <c r="D15" s="320"/>
      <c r="E15" s="320"/>
      <c r="F15" s="320"/>
      <c r="G15" s="320"/>
      <c r="H15" s="720" t="s">
        <v>172</v>
      </c>
      <c r="I15" s="724"/>
      <c r="J15" s="724"/>
      <c r="K15" s="721"/>
      <c r="L15" s="307"/>
      <c r="M15" s="308"/>
      <c r="O15" s="436" t="s">
        <v>338</v>
      </c>
      <c r="P15" s="436"/>
      <c r="Q15" s="436"/>
      <c r="R15" s="436"/>
      <c r="S15" s="436"/>
      <c r="T15" s="436"/>
      <c r="U15" s="454"/>
      <c r="V15" s="455"/>
      <c r="W15" s="456"/>
      <c r="X15" s="567">
        <v>12075000</v>
      </c>
      <c r="Y15" s="436">
        <v>0</v>
      </c>
    </row>
    <row r="16" spans="1:26" ht="24" customHeight="1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32"/>
      <c r="L16" s="307"/>
      <c r="M16" s="308"/>
      <c r="N16" s="292">
        <v>10</v>
      </c>
      <c r="O16" s="292">
        <v>1</v>
      </c>
      <c r="X16" s="457">
        <f>SUM(X13:X15)</f>
        <v>87978100</v>
      </c>
      <c r="Y16" s="436">
        <f>((X13*Y13)+(X14*Y14)+(X15*Y15))/X16</f>
        <v>77.611577719909832</v>
      </c>
      <c r="Z16" s="292" t="s">
        <v>51</v>
      </c>
    </row>
    <row r="17" spans="1:25" ht="24" customHeight="1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32"/>
      <c r="L17" s="307"/>
      <c r="M17" s="308"/>
      <c r="N17" s="562">
        <f>J18-70</f>
        <v>7.6115777199098318</v>
      </c>
      <c r="O17" s="292">
        <f>O16*N17/N16</f>
        <v>0.76115777199098322</v>
      </c>
    </row>
    <row r="18" spans="1:25" ht="24" customHeight="1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328">
        <f>Y16</f>
        <v>77.611577719909832</v>
      </c>
      <c r="K18" s="532" t="s">
        <v>51</v>
      </c>
      <c r="L18" s="307"/>
      <c r="M18" s="308"/>
    </row>
    <row r="19" spans="1:25" ht="24" customHeight="1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</row>
    <row r="20" spans="1:25" ht="24" customHeight="1">
      <c r="A20" s="302" t="s">
        <v>179</v>
      </c>
      <c r="B20" s="403">
        <v>4</v>
      </c>
      <c r="C20" s="332">
        <v>0.5</v>
      </c>
      <c r="D20" s="332">
        <v>0.75</v>
      </c>
      <c r="E20" s="332">
        <v>1</v>
      </c>
      <c r="F20" s="332">
        <v>1</v>
      </c>
      <c r="G20" s="332">
        <v>1</v>
      </c>
      <c r="H20" s="726" t="s">
        <v>57</v>
      </c>
      <c r="I20" s="722"/>
      <c r="J20" s="722"/>
      <c r="K20" s="723"/>
      <c r="L20" s="304">
        <v>2.9864999999999999</v>
      </c>
      <c r="M20" s="305">
        <f>IF(L20=0,"-",ROUND(L20*B20/B$77,4))</f>
        <v>0.1991</v>
      </c>
      <c r="N20" s="429" t="s">
        <v>199</v>
      </c>
      <c r="O20" s="292">
        <v>25</v>
      </c>
      <c r="P20" s="292">
        <v>1</v>
      </c>
    </row>
    <row r="21" spans="1:25" ht="24" customHeight="1">
      <c r="A21" s="309" t="s">
        <v>23</v>
      </c>
      <c r="B21" s="352"/>
      <c r="C21" s="320"/>
      <c r="D21" s="320"/>
      <c r="E21" s="320"/>
      <c r="F21" s="335" t="s">
        <v>70</v>
      </c>
      <c r="G21" s="335" t="s">
        <v>70</v>
      </c>
      <c r="H21" s="531" t="s">
        <v>58</v>
      </c>
      <c r="I21" s="535"/>
      <c r="J21" s="535"/>
      <c r="K21" s="532"/>
      <c r="L21" s="307"/>
      <c r="M21" s="308"/>
      <c r="N21" s="495" t="s">
        <v>237</v>
      </c>
      <c r="O21" s="562">
        <f>J24-75</f>
        <v>24.66245142857143</v>
      </c>
      <c r="P21" s="292">
        <f>P20*O21/O20</f>
        <v>0.98649805714285721</v>
      </c>
      <c r="V21" s="530" t="s">
        <v>229</v>
      </c>
      <c r="W21" s="530" t="s">
        <v>330</v>
      </c>
      <c r="X21" s="530" t="s">
        <v>51</v>
      </c>
    </row>
    <row r="22" spans="1:25" ht="24" customHeight="1">
      <c r="A22" s="309" t="s">
        <v>24</v>
      </c>
      <c r="B22" s="352"/>
      <c r="C22" s="320"/>
      <c r="D22" s="320"/>
      <c r="E22" s="320"/>
      <c r="F22" s="335" t="s">
        <v>137</v>
      </c>
      <c r="G22" s="335" t="s">
        <v>138</v>
      </c>
      <c r="H22" s="531" t="s">
        <v>147</v>
      </c>
      <c r="I22" s="535"/>
      <c r="J22" s="535"/>
      <c r="K22" s="532"/>
      <c r="L22" s="307"/>
      <c r="M22" s="308"/>
      <c r="O22" s="462">
        <v>3</v>
      </c>
      <c r="P22" s="463" t="s">
        <v>339</v>
      </c>
      <c r="Q22" s="455"/>
      <c r="R22" s="455"/>
      <c r="S22" s="455"/>
      <c r="T22" s="455"/>
      <c r="U22" s="455"/>
      <c r="V22" s="464">
        <v>350000</v>
      </c>
      <c r="W22" s="472">
        <v>348818.58</v>
      </c>
      <c r="X22" s="568">
        <f>W22*100/V22</f>
        <v>99.66245142857143</v>
      </c>
      <c r="Y22" s="292" t="s">
        <v>51</v>
      </c>
    </row>
    <row r="23" spans="1:25" ht="24" customHeight="1">
      <c r="A23" s="309"/>
      <c r="B23" s="352"/>
      <c r="C23" s="320"/>
      <c r="D23" s="320"/>
      <c r="E23" s="320"/>
      <c r="F23" s="320"/>
      <c r="G23" s="320"/>
      <c r="H23" s="531" t="s">
        <v>180</v>
      </c>
      <c r="I23" s="535"/>
      <c r="J23" s="535"/>
      <c r="K23" s="532"/>
      <c r="L23" s="307"/>
      <c r="M23" s="308"/>
    </row>
    <row r="24" spans="1:25" ht="24" customHeight="1">
      <c r="A24" s="309"/>
      <c r="B24" s="352"/>
      <c r="C24" s="320"/>
      <c r="D24" s="320"/>
      <c r="E24" s="320"/>
      <c r="F24" s="320"/>
      <c r="G24" s="311"/>
      <c r="H24" s="531"/>
      <c r="I24" s="323" t="s">
        <v>56</v>
      </c>
      <c r="J24" s="564">
        <f>X22</f>
        <v>99.66245142857143</v>
      </c>
      <c r="K24" s="532" t="s">
        <v>51</v>
      </c>
      <c r="L24" s="307"/>
      <c r="M24" s="308"/>
    </row>
    <row r="25" spans="1:25" ht="24" customHeight="1">
      <c r="A25" s="325"/>
      <c r="B25" s="359"/>
      <c r="C25" s="310"/>
      <c r="D25" s="310"/>
      <c r="E25" s="310"/>
      <c r="F25" s="310"/>
      <c r="G25" s="310"/>
      <c r="H25" s="329"/>
      <c r="I25" s="427"/>
      <c r="J25" s="427"/>
      <c r="K25" s="428"/>
      <c r="L25" s="326"/>
      <c r="M25" s="299"/>
    </row>
    <row r="26" spans="1:25" ht="24" customHeight="1">
      <c r="A26" s="302" t="s">
        <v>183</v>
      </c>
      <c r="B26" s="403">
        <v>4</v>
      </c>
      <c r="C26" s="332">
        <v>0.8</v>
      </c>
      <c r="D26" s="332">
        <v>0.85</v>
      </c>
      <c r="E26" s="332">
        <v>0.9</v>
      </c>
      <c r="F26" s="332">
        <v>0.95</v>
      </c>
      <c r="G26" s="332">
        <v>1</v>
      </c>
      <c r="H26" s="386" t="s">
        <v>150</v>
      </c>
      <c r="I26" s="387"/>
      <c r="J26" s="387"/>
      <c r="K26" s="388"/>
      <c r="L26" s="304">
        <v>1</v>
      </c>
      <c r="M26" s="305">
        <f>IF(L26=0,"-",ROUND(L26*B26/B$77,4))</f>
        <v>6.6699999999999995E-2</v>
      </c>
      <c r="N26" s="429" t="s">
        <v>201</v>
      </c>
    </row>
    <row r="27" spans="1:25" ht="24" customHeight="1">
      <c r="A27" s="309" t="s">
        <v>28</v>
      </c>
      <c r="B27" s="352"/>
      <c r="C27" s="320"/>
      <c r="D27" s="320"/>
      <c r="E27" s="320"/>
      <c r="F27" s="320"/>
      <c r="G27" s="320"/>
      <c r="H27" s="531" t="s">
        <v>154</v>
      </c>
      <c r="I27" s="535"/>
      <c r="J27" s="535"/>
      <c r="K27" s="532"/>
      <c r="L27" s="307"/>
      <c r="M27" s="308"/>
    </row>
    <row r="28" spans="1:25" ht="24" customHeight="1">
      <c r="A28" s="309" t="s">
        <v>60</v>
      </c>
      <c r="B28" s="352"/>
      <c r="C28" s="320"/>
      <c r="D28" s="320"/>
      <c r="E28" s="320"/>
      <c r="F28" s="320"/>
      <c r="G28" s="320"/>
      <c r="H28" s="531" t="s">
        <v>64</v>
      </c>
      <c r="I28" s="535"/>
      <c r="J28" s="535"/>
      <c r="K28" s="532"/>
      <c r="L28" s="307"/>
      <c r="M28" s="308"/>
    </row>
    <row r="29" spans="1:25" ht="24" customHeight="1">
      <c r="A29" s="309"/>
      <c r="B29" s="352"/>
      <c r="C29" s="320"/>
      <c r="D29" s="320"/>
      <c r="E29" s="320"/>
      <c r="F29" s="320"/>
      <c r="G29" s="320"/>
      <c r="H29" s="380" t="s">
        <v>180</v>
      </c>
      <c r="I29" s="323"/>
      <c r="J29" s="322"/>
      <c r="K29" s="382"/>
      <c r="L29" s="307"/>
      <c r="M29" s="308"/>
    </row>
    <row r="30" spans="1:25" ht="24" customHeight="1">
      <c r="A30" s="309"/>
      <c r="B30" s="352"/>
      <c r="C30" s="320"/>
      <c r="D30" s="320"/>
      <c r="E30" s="320"/>
      <c r="F30" s="320"/>
      <c r="G30" s="320"/>
      <c r="H30" s="380"/>
      <c r="I30" s="323" t="s">
        <v>66</v>
      </c>
      <c r="J30" s="334">
        <v>8</v>
      </c>
      <c r="K30" s="382" t="s">
        <v>61</v>
      </c>
      <c r="L30" s="307"/>
      <c r="M30" s="308"/>
    </row>
    <row r="31" spans="1:25" ht="24" customHeight="1">
      <c r="A31" s="309"/>
      <c r="B31" s="352"/>
      <c r="C31" s="320"/>
      <c r="D31" s="320"/>
      <c r="E31" s="320"/>
      <c r="F31" s="320"/>
      <c r="G31" s="320"/>
      <c r="H31" s="380"/>
      <c r="I31" s="323" t="s">
        <v>67</v>
      </c>
      <c r="J31" s="334">
        <v>5</v>
      </c>
      <c r="K31" s="382" t="s">
        <v>61</v>
      </c>
      <c r="L31" s="307"/>
      <c r="M31" s="308"/>
    </row>
    <row r="32" spans="1:25" ht="24" customHeight="1">
      <c r="A32" s="309"/>
      <c r="B32" s="352"/>
      <c r="C32" s="320"/>
      <c r="D32" s="320"/>
      <c r="E32" s="320"/>
      <c r="F32" s="320"/>
      <c r="G32" s="320"/>
      <c r="H32" s="531"/>
      <c r="I32" s="323" t="s">
        <v>81</v>
      </c>
      <c r="J32" s="334">
        <f>J31*100/J30</f>
        <v>62.5</v>
      </c>
      <c r="K32" s="532" t="s">
        <v>51</v>
      </c>
      <c r="L32" s="307"/>
      <c r="M32" s="308"/>
    </row>
    <row r="33" spans="1:32" ht="24" customHeight="1">
      <c r="A33" s="325"/>
      <c r="B33" s="359"/>
      <c r="C33" s="310"/>
      <c r="D33" s="310"/>
      <c r="E33" s="310"/>
      <c r="F33" s="310"/>
      <c r="G33" s="310"/>
      <c r="H33" s="527"/>
      <c r="I33" s="427"/>
      <c r="J33" s="427"/>
      <c r="K33" s="428"/>
      <c r="L33" s="326"/>
      <c r="M33" s="299"/>
    </row>
    <row r="34" spans="1:32" ht="24" customHeight="1">
      <c r="A34" s="302" t="s">
        <v>184</v>
      </c>
      <c r="B34" s="403">
        <v>4</v>
      </c>
      <c r="C34" s="332">
        <v>0.5</v>
      </c>
      <c r="D34" s="332">
        <v>0.75</v>
      </c>
      <c r="E34" s="332">
        <v>1</v>
      </c>
      <c r="F34" s="332">
        <v>1</v>
      </c>
      <c r="G34" s="332">
        <v>1</v>
      </c>
      <c r="H34" s="536" t="s">
        <v>152</v>
      </c>
      <c r="I34" s="533"/>
      <c r="J34" s="533"/>
      <c r="K34" s="534"/>
      <c r="L34" s="304">
        <v>1</v>
      </c>
      <c r="M34" s="305">
        <f>IF(L34=0,"-",ROUND(L34*B34/B$77,4))</f>
        <v>6.6699999999999995E-2</v>
      </c>
      <c r="N34" s="429" t="s">
        <v>332</v>
      </c>
    </row>
    <row r="35" spans="1:32" ht="24" customHeight="1">
      <c r="A35" s="309" t="s">
        <v>151</v>
      </c>
      <c r="B35" s="406"/>
      <c r="C35" s="335"/>
      <c r="D35" s="335"/>
      <c r="E35" s="335"/>
      <c r="F35" s="335" t="s">
        <v>70</v>
      </c>
      <c r="G35" s="335" t="s">
        <v>70</v>
      </c>
      <c r="H35" s="535" t="s">
        <v>153</v>
      </c>
      <c r="I35" s="535"/>
      <c r="J35" s="535"/>
      <c r="K35" s="532"/>
      <c r="L35" s="307"/>
      <c r="M35" s="308"/>
      <c r="N35" s="495" t="s">
        <v>237</v>
      </c>
    </row>
    <row r="36" spans="1:32" ht="24" customHeight="1">
      <c r="A36" s="309"/>
      <c r="B36" s="406"/>
      <c r="C36" s="335"/>
      <c r="D36" s="335"/>
      <c r="E36" s="335"/>
      <c r="F36" s="335" t="s">
        <v>137</v>
      </c>
      <c r="G36" s="335" t="s">
        <v>138</v>
      </c>
      <c r="H36" s="535" t="s">
        <v>180</v>
      </c>
      <c r="I36" s="535"/>
      <c r="J36" s="535"/>
      <c r="K36" s="532"/>
      <c r="L36" s="307"/>
      <c r="M36" s="308"/>
    </row>
    <row r="37" spans="1:32" ht="24" customHeight="1">
      <c r="A37" s="309"/>
      <c r="B37" s="406"/>
      <c r="C37" s="336"/>
      <c r="D37" s="336"/>
      <c r="E37" s="336"/>
      <c r="F37" s="336"/>
      <c r="G37" s="390"/>
      <c r="H37" s="531"/>
      <c r="I37" s="323" t="s">
        <v>56</v>
      </c>
      <c r="J37" s="324">
        <v>50</v>
      </c>
      <c r="K37" s="532" t="s">
        <v>51</v>
      </c>
      <c r="L37" s="307"/>
      <c r="M37" s="308"/>
      <c r="R37" s="349"/>
    </row>
    <row r="38" spans="1:32" ht="24" customHeight="1">
      <c r="A38" s="325"/>
      <c r="B38" s="359"/>
      <c r="C38" s="310"/>
      <c r="D38" s="310"/>
      <c r="E38" s="310"/>
      <c r="F38" s="310"/>
      <c r="G38" s="310"/>
      <c r="H38" s="527"/>
      <c r="I38" s="528"/>
      <c r="J38" s="528"/>
      <c r="K38" s="529"/>
      <c r="L38" s="326"/>
      <c r="M38" s="299"/>
    </row>
    <row r="39" spans="1:32" ht="24" customHeight="1">
      <c r="A39" s="302" t="s">
        <v>185</v>
      </c>
      <c r="B39" s="403">
        <v>12</v>
      </c>
      <c r="C39" s="332">
        <v>0.78</v>
      </c>
      <c r="D39" s="332">
        <v>0.81</v>
      </c>
      <c r="E39" s="332">
        <v>0.84</v>
      </c>
      <c r="F39" s="332">
        <v>0.87</v>
      </c>
      <c r="G39" s="332">
        <v>0.9</v>
      </c>
      <c r="H39" s="536" t="s">
        <v>186</v>
      </c>
      <c r="I39" s="533"/>
      <c r="J39" s="533"/>
      <c r="K39" s="534"/>
      <c r="L39" s="304">
        <v>1</v>
      </c>
      <c r="M39" s="305">
        <f>IF(L39=0,"-",ROUND(L39*B39/B$77,4))</f>
        <v>0.2</v>
      </c>
      <c r="N39" s="429" t="s">
        <v>199</v>
      </c>
      <c r="O39" s="298">
        <v>3</v>
      </c>
      <c r="P39" s="298">
        <v>1</v>
      </c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</row>
    <row r="40" spans="1:32" ht="24" customHeight="1">
      <c r="A40" s="309" t="s">
        <v>85</v>
      </c>
      <c r="B40" s="352"/>
      <c r="C40" s="320"/>
      <c r="D40" s="320"/>
      <c r="E40" s="320"/>
      <c r="F40" s="320"/>
      <c r="G40" s="320"/>
      <c r="H40" s="531" t="s">
        <v>196</v>
      </c>
      <c r="I40" s="535"/>
      <c r="J40" s="535"/>
      <c r="K40" s="532"/>
      <c r="L40" s="307"/>
      <c r="M40" s="308"/>
      <c r="N40" s="495" t="s">
        <v>237</v>
      </c>
      <c r="O40" s="356">
        <f>J43-(C39*100)</f>
        <v>-0.35123367198838196</v>
      </c>
      <c r="P40" s="356">
        <f>P39*O40/O39</f>
        <v>-0.11707789066279399</v>
      </c>
      <c r="Q40" s="356"/>
      <c r="R40" s="356"/>
      <c r="S40" s="356"/>
      <c r="T40" s="356"/>
      <c r="U40" s="356"/>
      <c r="V40" s="356"/>
      <c r="W40" s="356"/>
      <c r="X40" s="356"/>
      <c r="Y40" s="356"/>
      <c r="Z40" s="356"/>
      <c r="AA40" s="356"/>
      <c r="AB40" s="356"/>
      <c r="AC40" s="356"/>
      <c r="AD40" s="356"/>
      <c r="AE40" s="356"/>
      <c r="AF40" s="356"/>
    </row>
    <row r="41" spans="1:32" ht="24" customHeight="1">
      <c r="A41" s="309"/>
      <c r="B41" s="352"/>
      <c r="C41" s="320"/>
      <c r="D41" s="320"/>
      <c r="E41" s="320"/>
      <c r="F41" s="320"/>
      <c r="G41" s="320"/>
      <c r="H41" s="327"/>
      <c r="I41" s="327" t="s">
        <v>87</v>
      </c>
      <c r="J41" s="433">
        <v>124020000</v>
      </c>
      <c r="K41" s="532" t="s">
        <v>187</v>
      </c>
      <c r="L41" s="307"/>
      <c r="M41" s="308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6"/>
      <c r="AF41" s="356"/>
    </row>
    <row r="42" spans="1:32" ht="24" customHeight="1">
      <c r="A42" s="309"/>
      <c r="B42" s="352"/>
      <c r="C42" s="320"/>
      <c r="D42" s="320"/>
      <c r="E42" s="320"/>
      <c r="F42" s="320"/>
      <c r="G42" s="320"/>
      <c r="H42" s="327"/>
      <c r="I42" s="323" t="s">
        <v>188</v>
      </c>
      <c r="J42" s="434">
        <v>96300000</v>
      </c>
      <c r="K42" s="532" t="s">
        <v>187</v>
      </c>
      <c r="L42" s="307"/>
      <c r="M42" s="308"/>
      <c r="O42" s="356"/>
      <c r="P42" s="356"/>
      <c r="Q42" s="356"/>
      <c r="R42" s="356"/>
      <c r="S42" s="356"/>
      <c r="T42" s="356"/>
      <c r="U42" s="356"/>
      <c r="V42" s="356"/>
      <c r="W42" s="356"/>
      <c r="X42" s="356"/>
      <c r="Y42" s="356"/>
      <c r="Z42" s="356"/>
      <c r="AA42" s="356"/>
      <c r="AB42" s="356"/>
      <c r="AC42" s="356"/>
      <c r="AD42" s="356"/>
      <c r="AE42" s="356"/>
      <c r="AF42" s="356"/>
    </row>
    <row r="43" spans="1:32" ht="24" customHeight="1">
      <c r="A43" s="309"/>
      <c r="B43" s="352"/>
      <c r="C43" s="320"/>
      <c r="D43" s="320"/>
      <c r="E43" s="320"/>
      <c r="F43" s="320"/>
      <c r="G43" s="320"/>
      <c r="H43" s="327"/>
      <c r="I43" s="323" t="s">
        <v>189</v>
      </c>
      <c r="J43" s="430">
        <f>J42*100/J41</f>
        <v>77.648766328011618</v>
      </c>
      <c r="K43" s="532" t="s">
        <v>51</v>
      </c>
      <c r="L43" s="307"/>
      <c r="M43" s="308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6"/>
      <c r="AF43" s="356"/>
    </row>
    <row r="44" spans="1:32" ht="24" customHeight="1">
      <c r="A44" s="325"/>
      <c r="B44" s="359"/>
      <c r="C44" s="310"/>
      <c r="D44" s="310"/>
      <c r="E44" s="310"/>
      <c r="F44" s="310"/>
      <c r="G44" s="310"/>
      <c r="H44" s="337"/>
      <c r="I44" s="427"/>
      <c r="J44" s="338"/>
      <c r="K44" s="428"/>
      <c r="L44" s="326"/>
      <c r="M44" s="299"/>
      <c r="O44" s="356"/>
      <c r="P44" s="356"/>
      <c r="Q44" s="356"/>
      <c r="R44" s="356"/>
      <c r="S44" s="356"/>
      <c r="T44" s="356"/>
      <c r="U44" s="356"/>
      <c r="V44" s="357"/>
      <c r="W44" s="356"/>
      <c r="X44" s="356"/>
      <c r="Y44" s="356"/>
      <c r="Z44" s="356"/>
      <c r="AA44" s="356"/>
      <c r="AB44" s="356"/>
      <c r="AC44" s="356"/>
      <c r="AD44" s="356"/>
      <c r="AE44" s="356"/>
      <c r="AF44" s="356"/>
    </row>
    <row r="45" spans="1:32" ht="24" customHeight="1">
      <c r="A45" s="339" t="s">
        <v>190</v>
      </c>
      <c r="B45" s="407">
        <v>4</v>
      </c>
      <c r="C45" s="340">
        <v>0.65</v>
      </c>
      <c r="D45" s="340">
        <v>0.7</v>
      </c>
      <c r="E45" s="340">
        <v>0.75</v>
      </c>
      <c r="F45" s="340">
        <v>0.8</v>
      </c>
      <c r="G45" s="340">
        <v>0.85</v>
      </c>
      <c r="H45" s="536" t="s">
        <v>156</v>
      </c>
      <c r="I45" s="533"/>
      <c r="J45" s="533"/>
      <c r="K45" s="534"/>
      <c r="L45" s="304">
        <v>1</v>
      </c>
      <c r="M45" s="305">
        <f>IF(L45=0,"-",ROUND(L45*B45/B$77,4))</f>
        <v>6.6699999999999995E-2</v>
      </c>
      <c r="N45" s="429" t="s">
        <v>340</v>
      </c>
      <c r="O45" s="356"/>
      <c r="P45" s="356"/>
      <c r="Q45" s="356"/>
      <c r="R45" s="356"/>
      <c r="S45" s="356"/>
      <c r="T45" s="356"/>
      <c r="U45" s="356"/>
      <c r="V45" s="357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</row>
    <row r="46" spans="1:32" ht="24" customHeight="1">
      <c r="A46" s="309" t="s">
        <v>145</v>
      </c>
      <c r="B46" s="352"/>
      <c r="C46" s="320"/>
      <c r="D46" s="320"/>
      <c r="E46" s="320"/>
      <c r="F46" s="320"/>
      <c r="G46" s="320"/>
      <c r="H46" s="531" t="s">
        <v>104</v>
      </c>
      <c r="I46" s="535"/>
      <c r="J46" s="535"/>
      <c r="K46" s="532"/>
      <c r="L46" s="307"/>
      <c r="M46" s="308"/>
      <c r="N46" s="487" t="s">
        <v>237</v>
      </c>
    </row>
    <row r="47" spans="1:32" ht="24" customHeight="1">
      <c r="A47" s="389" t="s">
        <v>155</v>
      </c>
      <c r="B47" s="352"/>
      <c r="C47" s="320"/>
      <c r="D47" s="320"/>
      <c r="E47" s="320"/>
      <c r="F47" s="320"/>
      <c r="G47" s="320"/>
      <c r="H47" s="531" t="s">
        <v>105</v>
      </c>
      <c r="I47" s="535"/>
      <c r="J47" s="535"/>
      <c r="K47" s="532"/>
      <c r="L47" s="307"/>
      <c r="M47" s="308"/>
    </row>
    <row r="48" spans="1:32" ht="24" customHeight="1">
      <c r="A48" s="309"/>
      <c r="B48" s="352"/>
      <c r="C48" s="320"/>
      <c r="D48" s="320"/>
      <c r="E48" s="320"/>
      <c r="F48" s="320"/>
      <c r="G48" s="320"/>
      <c r="H48" s="341"/>
      <c r="I48" s="342" t="s">
        <v>113</v>
      </c>
      <c r="J48" s="343" t="s">
        <v>11</v>
      </c>
      <c r="K48" s="532" t="s">
        <v>51</v>
      </c>
      <c r="L48" s="307"/>
      <c r="M48" s="308"/>
    </row>
    <row r="49" spans="1:15" ht="24" customHeight="1">
      <c r="A49" s="325"/>
      <c r="B49" s="359"/>
      <c r="C49" s="310"/>
      <c r="D49" s="310"/>
      <c r="E49" s="310"/>
      <c r="F49" s="310"/>
      <c r="G49" s="416"/>
      <c r="H49" s="705" t="s">
        <v>211</v>
      </c>
      <c r="I49" s="706"/>
      <c r="J49" s="706"/>
      <c r="K49" s="707"/>
      <c r="L49" s="326"/>
      <c r="M49" s="299"/>
    </row>
    <row r="50" spans="1:15" ht="24" customHeight="1">
      <c r="A50" s="302" t="s">
        <v>106</v>
      </c>
      <c r="B50" s="407">
        <v>4</v>
      </c>
      <c r="C50" s="346" t="s">
        <v>29</v>
      </c>
      <c r="D50" s="346" t="s">
        <v>30</v>
      </c>
      <c r="E50" s="346" t="s">
        <v>31</v>
      </c>
      <c r="F50" s="346" t="s">
        <v>32</v>
      </c>
      <c r="G50" s="346" t="s">
        <v>33</v>
      </c>
      <c r="H50" s="536" t="s">
        <v>108</v>
      </c>
      <c r="I50" s="533"/>
      <c r="J50" s="533"/>
      <c r="K50" s="534"/>
      <c r="L50" s="304">
        <v>2</v>
      </c>
      <c r="M50" s="305">
        <f>IF(L50=0,"-",ROUND(L50*B50/B$77,4))</f>
        <v>0.1333</v>
      </c>
      <c r="N50" s="429" t="s">
        <v>332</v>
      </c>
    </row>
    <row r="51" spans="1:15" ht="24" customHeight="1">
      <c r="A51" s="309" t="s">
        <v>107</v>
      </c>
      <c r="B51" s="352"/>
      <c r="C51" s="348">
        <v>1.5</v>
      </c>
      <c r="D51" s="348">
        <v>2</v>
      </c>
      <c r="E51" s="348">
        <v>2.5</v>
      </c>
      <c r="F51" s="348">
        <v>3</v>
      </c>
      <c r="G51" s="348">
        <v>5</v>
      </c>
      <c r="H51" s="531" t="s">
        <v>146</v>
      </c>
      <c r="I51" s="535"/>
      <c r="J51" s="535"/>
      <c r="K51" s="532"/>
      <c r="L51" s="307"/>
      <c r="M51" s="308"/>
      <c r="N51" s="487" t="s">
        <v>237</v>
      </c>
    </row>
    <row r="52" spans="1:15" ht="24" customHeight="1">
      <c r="A52" s="309"/>
      <c r="B52" s="352"/>
      <c r="C52" s="344"/>
      <c r="D52" s="344"/>
      <c r="E52" s="344"/>
      <c r="F52" s="344"/>
      <c r="G52" s="344"/>
      <c r="H52" s="531" t="s">
        <v>110</v>
      </c>
      <c r="I52" s="535"/>
      <c r="J52" s="535"/>
      <c r="K52" s="532"/>
      <c r="L52" s="307"/>
      <c r="M52" s="308"/>
    </row>
    <row r="53" spans="1:15" ht="23.25">
      <c r="A53" s="309"/>
      <c r="B53" s="352"/>
      <c r="C53" s="344"/>
      <c r="D53" s="344"/>
      <c r="E53" s="344"/>
      <c r="F53" s="344"/>
      <c r="G53" s="344"/>
      <c r="H53" s="531" t="s">
        <v>191</v>
      </c>
      <c r="I53" s="535"/>
      <c r="J53" s="535"/>
      <c r="K53" s="532"/>
      <c r="L53" s="307"/>
      <c r="M53" s="308"/>
    </row>
    <row r="54" spans="1:15" ht="23.25">
      <c r="A54" s="309"/>
      <c r="B54" s="352"/>
      <c r="C54" s="344"/>
      <c r="D54" s="344"/>
      <c r="E54" s="344"/>
      <c r="F54" s="344"/>
      <c r="G54" s="344"/>
      <c r="H54" s="531"/>
      <c r="I54" s="323" t="s">
        <v>112</v>
      </c>
      <c r="J54" s="324">
        <v>2</v>
      </c>
      <c r="K54" s="382"/>
      <c r="L54" s="307"/>
      <c r="M54" s="308"/>
    </row>
    <row r="55" spans="1:15" ht="23.25">
      <c r="A55" s="325"/>
      <c r="B55" s="359"/>
      <c r="C55" s="310"/>
      <c r="D55" s="310"/>
      <c r="E55" s="310"/>
      <c r="F55" s="310"/>
      <c r="G55" s="310"/>
      <c r="H55" s="705"/>
      <c r="I55" s="706"/>
      <c r="J55" s="706"/>
      <c r="K55" s="707"/>
      <c r="L55" s="326"/>
      <c r="M55" s="299"/>
    </row>
    <row r="56" spans="1:15" ht="23.25">
      <c r="A56" s="350" t="s">
        <v>132</v>
      </c>
      <c r="B56" s="407">
        <v>4</v>
      </c>
      <c r="C56" s="340">
        <v>0.1</v>
      </c>
      <c r="D56" s="340">
        <v>0.3</v>
      </c>
      <c r="E56" s="340">
        <v>0.5</v>
      </c>
      <c r="F56" s="340">
        <v>0.7</v>
      </c>
      <c r="G56" s="340">
        <v>1</v>
      </c>
      <c r="H56" s="536" t="s">
        <v>123</v>
      </c>
      <c r="I56" s="533"/>
      <c r="J56" s="533"/>
      <c r="K56" s="534"/>
      <c r="L56" s="304">
        <v>4.7</v>
      </c>
      <c r="M56" s="305">
        <f>IF(L56=0,"-",ROUND(L56*B56/B$77,4))</f>
        <v>0.31330000000000002</v>
      </c>
      <c r="N56" s="292">
        <v>30</v>
      </c>
      <c r="O56" s="292">
        <v>1</v>
      </c>
    </row>
    <row r="57" spans="1:15" ht="23.25">
      <c r="A57" s="351" t="s">
        <v>192</v>
      </c>
      <c r="B57" s="352"/>
      <c r="C57" s="320"/>
      <c r="D57" s="320"/>
      <c r="E57" s="320"/>
      <c r="F57" s="320"/>
      <c r="G57" s="311"/>
      <c r="H57" s="531" t="s">
        <v>124</v>
      </c>
      <c r="I57" s="322"/>
      <c r="J57" s="353"/>
      <c r="K57" s="354"/>
      <c r="L57" s="355"/>
      <c r="M57" s="308"/>
      <c r="N57" s="292">
        <v>21</v>
      </c>
      <c r="O57" s="292">
        <f>O56*N57/N56</f>
        <v>0.7</v>
      </c>
    </row>
    <row r="58" spans="1:15" ht="23.25">
      <c r="A58" s="351"/>
      <c r="B58" s="352"/>
      <c r="C58" s="320"/>
      <c r="D58" s="320"/>
      <c r="E58" s="320"/>
      <c r="F58" s="320"/>
      <c r="G58" s="320"/>
      <c r="H58" s="535" t="s">
        <v>125</v>
      </c>
      <c r="I58" s="322"/>
      <c r="J58" s="353"/>
      <c r="K58" s="354"/>
      <c r="L58" s="355"/>
      <c r="M58" s="308"/>
      <c r="N58" s="542" t="s">
        <v>202</v>
      </c>
    </row>
    <row r="59" spans="1:15" ht="23.25">
      <c r="A59" s="351"/>
      <c r="B59" s="352"/>
      <c r="C59" s="320"/>
      <c r="D59" s="320"/>
      <c r="E59" s="320"/>
      <c r="F59" s="320"/>
      <c r="G59" s="320"/>
      <c r="H59" s="531" t="s">
        <v>126</v>
      </c>
      <c r="I59" s="322"/>
      <c r="J59" s="353"/>
      <c r="K59" s="354"/>
      <c r="L59" s="355"/>
      <c r="M59" s="308"/>
      <c r="N59" s="487" t="s">
        <v>237</v>
      </c>
    </row>
    <row r="60" spans="1:15" ht="23.25">
      <c r="A60" s="351"/>
      <c r="B60" s="352"/>
      <c r="C60" s="320"/>
      <c r="D60" s="320"/>
      <c r="E60" s="320"/>
      <c r="F60" s="320"/>
      <c r="G60" s="320"/>
      <c r="H60" s="531" t="s">
        <v>127</v>
      </c>
      <c r="I60" s="322"/>
      <c r="J60" s="353"/>
      <c r="K60" s="354"/>
      <c r="L60" s="355"/>
      <c r="M60" s="308"/>
    </row>
    <row r="61" spans="1:15" ht="23.25">
      <c r="A61" s="351"/>
      <c r="B61" s="352"/>
      <c r="C61" s="320"/>
      <c r="D61" s="320"/>
      <c r="E61" s="320"/>
      <c r="F61" s="320"/>
      <c r="G61" s="320"/>
      <c r="H61" s="531"/>
      <c r="I61" s="323" t="s">
        <v>114</v>
      </c>
      <c r="J61" s="408">
        <v>91</v>
      </c>
      <c r="K61" s="382" t="s">
        <v>51</v>
      </c>
      <c r="L61" s="355"/>
      <c r="M61" s="308"/>
    </row>
    <row r="62" spans="1:15" ht="23.25">
      <c r="A62" s="358"/>
      <c r="B62" s="359"/>
      <c r="C62" s="310"/>
      <c r="D62" s="310"/>
      <c r="E62" s="310"/>
      <c r="F62" s="310"/>
      <c r="G62" s="310"/>
      <c r="H62" s="330"/>
      <c r="I62" s="427"/>
      <c r="J62" s="427"/>
      <c r="K62" s="428"/>
      <c r="L62" s="360"/>
      <c r="M62" s="299"/>
    </row>
    <row r="63" spans="1:15" ht="23.25">
      <c r="A63" s="302" t="s">
        <v>115</v>
      </c>
      <c r="B63" s="407">
        <v>4</v>
      </c>
      <c r="C63" s="361">
        <v>0.8</v>
      </c>
      <c r="D63" s="361">
        <v>0.85</v>
      </c>
      <c r="E63" s="361">
        <v>0.9</v>
      </c>
      <c r="F63" s="361">
        <v>0.95</v>
      </c>
      <c r="G63" s="361">
        <v>1</v>
      </c>
      <c r="H63" s="536" t="s">
        <v>157</v>
      </c>
      <c r="I63" s="533"/>
      <c r="J63" s="533"/>
      <c r="K63" s="534"/>
      <c r="L63" s="304">
        <v>5</v>
      </c>
      <c r="M63" s="305">
        <f>IF(L63=0,"-",ROUND(L63*B63/B$77,4))</f>
        <v>0.33329999999999999</v>
      </c>
      <c r="N63" s="429" t="s">
        <v>203</v>
      </c>
    </row>
    <row r="64" spans="1:15" ht="23.25">
      <c r="A64" s="309" t="s">
        <v>116</v>
      </c>
      <c r="B64" s="352"/>
      <c r="C64" s="348"/>
      <c r="D64" s="348"/>
      <c r="E64" s="348"/>
      <c r="F64" s="348"/>
      <c r="G64" s="348"/>
      <c r="H64" s="531" t="s">
        <v>158</v>
      </c>
      <c r="I64" s="535"/>
      <c r="J64" s="535"/>
      <c r="K64" s="532"/>
      <c r="L64" s="362"/>
      <c r="M64" s="308"/>
      <c r="N64" s="487" t="s">
        <v>237</v>
      </c>
    </row>
    <row r="65" spans="1:14" ht="23.25">
      <c r="A65" s="309" t="s">
        <v>193</v>
      </c>
      <c r="B65" s="352"/>
      <c r="C65" s="320"/>
      <c r="D65" s="320"/>
      <c r="E65" s="320"/>
      <c r="F65" s="320"/>
      <c r="G65" s="320"/>
      <c r="H65" s="531" t="s">
        <v>197</v>
      </c>
      <c r="I65" s="535"/>
      <c r="J65" s="535"/>
      <c r="K65" s="532"/>
      <c r="L65" s="362"/>
      <c r="M65" s="308"/>
    </row>
    <row r="66" spans="1:14" ht="23.25">
      <c r="A66" s="309"/>
      <c r="B66" s="352"/>
      <c r="C66" s="320"/>
      <c r="D66" s="320"/>
      <c r="E66" s="320"/>
      <c r="F66" s="320"/>
      <c r="G66" s="320"/>
      <c r="H66" s="531" t="s">
        <v>120</v>
      </c>
      <c r="I66" s="535"/>
      <c r="J66" s="535"/>
      <c r="K66" s="532"/>
      <c r="L66" s="362"/>
      <c r="M66" s="308"/>
    </row>
    <row r="67" spans="1:14" ht="23.25">
      <c r="A67" s="309"/>
      <c r="B67" s="352"/>
      <c r="C67" s="320"/>
      <c r="D67" s="320"/>
      <c r="E67" s="320"/>
      <c r="F67" s="320"/>
      <c r="G67" s="320"/>
      <c r="H67" s="531" t="s">
        <v>194</v>
      </c>
      <c r="I67" s="535"/>
      <c r="J67" s="535"/>
      <c r="K67" s="532"/>
      <c r="L67" s="362"/>
      <c r="M67" s="308"/>
    </row>
    <row r="68" spans="1:14" ht="23.25">
      <c r="A68" s="309"/>
      <c r="B68" s="352"/>
      <c r="C68" s="320"/>
      <c r="D68" s="320"/>
      <c r="E68" s="320"/>
      <c r="F68" s="320"/>
      <c r="G68" s="344"/>
      <c r="H68" s="531" t="s">
        <v>195</v>
      </c>
      <c r="I68" s="345"/>
      <c r="J68" s="408">
        <v>100</v>
      </c>
      <c r="K68" s="414" t="s">
        <v>51</v>
      </c>
      <c r="L68" s="413"/>
      <c r="M68" s="308"/>
    </row>
    <row r="69" spans="1:14" ht="23.25">
      <c r="A69" s="358"/>
      <c r="B69" s="415"/>
      <c r="C69" s="412"/>
      <c r="D69" s="412"/>
      <c r="E69" s="412"/>
      <c r="F69" s="412"/>
      <c r="G69" s="329"/>
      <c r="H69" s="538"/>
      <c r="I69" s="418"/>
      <c r="J69" s="419"/>
      <c r="K69" s="417"/>
      <c r="L69" s="420"/>
      <c r="M69" s="308"/>
    </row>
    <row r="70" spans="1:14" ht="23.25">
      <c r="A70" s="351" t="s">
        <v>316</v>
      </c>
      <c r="B70" s="543">
        <v>4</v>
      </c>
      <c r="C70" s="544">
        <v>0.4</v>
      </c>
      <c r="D70" s="544">
        <v>0.45</v>
      </c>
      <c r="E70" s="544">
        <v>0.5</v>
      </c>
      <c r="F70" s="544">
        <v>0.55000000000000004</v>
      </c>
      <c r="G70" s="544">
        <v>0.6</v>
      </c>
      <c r="H70" s="531" t="s">
        <v>317</v>
      </c>
      <c r="I70" s="345"/>
      <c r="J70" s="545"/>
      <c r="K70" s="546"/>
      <c r="L70" s="413">
        <v>3</v>
      </c>
      <c r="M70" s="305">
        <f>IF(L70=0,"-",ROUND(L70*B70/B$77,4))</f>
        <v>0.2</v>
      </c>
      <c r="N70" s="429" t="s">
        <v>332</v>
      </c>
    </row>
    <row r="71" spans="1:14" ht="23.25">
      <c r="A71" s="351" t="s">
        <v>318</v>
      </c>
      <c r="B71" s="406"/>
      <c r="C71" s="311"/>
      <c r="D71" s="311"/>
      <c r="E71" s="311"/>
      <c r="F71" s="311"/>
      <c r="G71" s="333"/>
      <c r="H71" s="531" t="s">
        <v>319</v>
      </c>
      <c r="I71" s="345"/>
      <c r="J71" s="545"/>
      <c r="K71" s="546"/>
      <c r="L71" s="413"/>
      <c r="M71" s="308"/>
      <c r="N71" s="487" t="s">
        <v>237</v>
      </c>
    </row>
    <row r="72" spans="1:14" ht="23.25">
      <c r="A72" s="351"/>
      <c r="B72" s="406"/>
      <c r="C72" s="311"/>
      <c r="D72" s="311"/>
      <c r="E72" s="311"/>
      <c r="F72" s="311"/>
      <c r="G72" s="333"/>
      <c r="H72" s="531"/>
      <c r="I72" s="345"/>
      <c r="J72" s="545"/>
      <c r="K72" s="546"/>
      <c r="L72" s="413"/>
      <c r="M72" s="308"/>
    </row>
    <row r="73" spans="1:14" ht="23.25">
      <c r="A73" s="351"/>
      <c r="B73" s="406"/>
      <c r="C73" s="311"/>
      <c r="D73" s="311"/>
      <c r="E73" s="311"/>
      <c r="F73" s="311"/>
      <c r="G73" s="333"/>
      <c r="H73" s="531"/>
      <c r="I73" s="345" t="s">
        <v>174</v>
      </c>
      <c r="J73" s="547">
        <v>50</v>
      </c>
      <c r="K73" s="414" t="s">
        <v>51</v>
      </c>
      <c r="L73" s="413"/>
      <c r="M73" s="308"/>
    </row>
    <row r="74" spans="1:14" ht="23.25">
      <c r="A74" s="351"/>
      <c r="B74" s="406"/>
      <c r="C74" s="311"/>
      <c r="D74" s="311"/>
      <c r="E74" s="311"/>
      <c r="F74" s="311"/>
      <c r="G74" s="333"/>
      <c r="H74" s="531"/>
      <c r="I74" s="345"/>
      <c r="J74" s="545"/>
      <c r="K74" s="546"/>
      <c r="L74" s="413"/>
      <c r="M74" s="308"/>
    </row>
    <row r="75" spans="1:14" ht="23.25">
      <c r="A75" s="351"/>
      <c r="B75" s="406"/>
      <c r="C75" s="311"/>
      <c r="D75" s="311"/>
      <c r="E75" s="311"/>
      <c r="F75" s="311"/>
      <c r="G75" s="333"/>
      <c r="H75" s="531"/>
      <c r="I75" s="345"/>
      <c r="J75" s="545"/>
      <c r="K75" s="546"/>
      <c r="L75" s="413"/>
      <c r="M75" s="308"/>
    </row>
    <row r="76" spans="1:14" ht="23.25">
      <c r="A76" s="358"/>
      <c r="B76" s="415"/>
      <c r="C76" s="412"/>
      <c r="D76" s="412"/>
      <c r="E76" s="412"/>
      <c r="F76" s="412"/>
      <c r="G76" s="416"/>
      <c r="H76" s="538"/>
      <c r="I76" s="345"/>
      <c r="J76" s="545"/>
      <c r="K76" s="417"/>
      <c r="L76" s="413"/>
      <c r="M76" s="308"/>
    </row>
    <row r="77" spans="1:14" ht="26.25">
      <c r="A77" s="363"/>
      <c r="B77" s="409">
        <f>ROUND(SUM(B6:B76),1)</f>
        <v>60</v>
      </c>
      <c r="C77" s="364"/>
      <c r="D77" s="364"/>
      <c r="E77" s="364"/>
      <c r="F77" s="364"/>
      <c r="G77" s="365"/>
      <c r="H77" s="364"/>
      <c r="I77" s="364"/>
      <c r="J77" s="364"/>
      <c r="K77" s="364"/>
      <c r="L77" s="366" t="s">
        <v>139</v>
      </c>
      <c r="M77" s="410">
        <f>(SUM(M6:M76))</f>
        <v>2.198</v>
      </c>
    </row>
  </sheetData>
  <mergeCells count="17"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  <mergeCell ref="H14:K14"/>
    <mergeCell ref="H15:K15"/>
    <mergeCell ref="H20:K20"/>
    <mergeCell ref="H49:K49"/>
    <mergeCell ref="H55:K55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5" max="12" man="1"/>
    <brk id="49" max="1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AF77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7" width="9.140625" style="292"/>
    <col min="18" max="18" width="13.85546875" style="292" bestFit="1" customWidth="1"/>
    <col min="19" max="16384" width="9.140625" style="292"/>
  </cols>
  <sheetData>
    <row r="1" spans="1:20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20" ht="24" customHeight="1">
      <c r="A2" s="710" t="s">
        <v>341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429" t="s">
        <v>342</v>
      </c>
    </row>
    <row r="3" spans="1:20" ht="24" customHeight="1">
      <c r="A3" s="293" t="s">
        <v>321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0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</row>
    <row r="5" spans="1:20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719"/>
      <c r="M5" s="301" t="s">
        <v>9</v>
      </c>
    </row>
    <row r="6" spans="1:20" ht="24" customHeight="1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726" t="s">
        <v>141</v>
      </c>
      <c r="I6" s="722"/>
      <c r="J6" s="722"/>
      <c r="K6" s="723"/>
      <c r="L6" s="304">
        <v>1</v>
      </c>
      <c r="M6" s="305">
        <f>IF(L6=0,"-",ROUND(L6*B6/B$77,4))</f>
        <v>6.6699999999999995E-2</v>
      </c>
      <c r="N6" s="429" t="s">
        <v>214</v>
      </c>
    </row>
    <row r="7" spans="1:20" ht="24" customHeight="1">
      <c r="A7" s="309" t="s">
        <v>44</v>
      </c>
      <c r="B7" s="399"/>
      <c r="C7" s="320"/>
      <c r="D7" s="320"/>
      <c r="E7" s="320"/>
      <c r="F7" s="320"/>
      <c r="G7" s="320"/>
      <c r="H7" s="720" t="s">
        <v>142</v>
      </c>
      <c r="I7" s="724"/>
      <c r="J7" s="724"/>
      <c r="K7" s="721"/>
      <c r="L7" s="307"/>
      <c r="M7" s="308"/>
      <c r="N7" s="429"/>
    </row>
    <row r="8" spans="1:20" ht="24" customHeight="1">
      <c r="A8" s="309"/>
      <c r="B8" s="399"/>
      <c r="C8" s="320"/>
      <c r="D8" s="320"/>
      <c r="E8" s="320"/>
      <c r="F8" s="320"/>
      <c r="G8" s="320"/>
      <c r="H8" s="720" t="s">
        <v>143</v>
      </c>
      <c r="I8" s="724"/>
      <c r="J8" s="724"/>
      <c r="K8" s="721"/>
      <c r="L8" s="307"/>
      <c r="M8" s="308"/>
    </row>
    <row r="9" spans="1:20" ht="24" customHeight="1">
      <c r="A9" s="309"/>
      <c r="B9" s="399"/>
      <c r="C9" s="320"/>
      <c r="D9" s="320"/>
      <c r="E9" s="320"/>
      <c r="F9" s="320"/>
      <c r="G9" s="320"/>
      <c r="H9" s="720" t="s">
        <v>144</v>
      </c>
      <c r="I9" s="724"/>
      <c r="J9" s="724"/>
      <c r="K9" s="721"/>
      <c r="L9" s="307"/>
      <c r="M9" s="308"/>
    </row>
    <row r="10" spans="1:20" ht="24" customHeight="1">
      <c r="A10" s="309"/>
      <c r="B10" s="399"/>
      <c r="C10" s="320"/>
      <c r="D10" s="320"/>
      <c r="E10" s="320"/>
      <c r="F10" s="320"/>
      <c r="G10" s="320"/>
      <c r="H10" s="720" t="s">
        <v>170</v>
      </c>
      <c r="I10" s="724"/>
      <c r="J10" s="724"/>
      <c r="K10" s="721"/>
      <c r="L10" s="307"/>
      <c r="M10" s="308"/>
    </row>
    <row r="11" spans="1:20" ht="24" customHeight="1">
      <c r="A11" s="309"/>
      <c r="B11" s="399"/>
      <c r="C11" s="320"/>
      <c r="D11" s="320"/>
      <c r="E11" s="320"/>
      <c r="F11" s="320"/>
      <c r="G11" s="320"/>
      <c r="I11" s="323" t="s">
        <v>54</v>
      </c>
      <c r="J11" s="324" t="s">
        <v>11</v>
      </c>
      <c r="K11" s="532" t="s">
        <v>51</v>
      </c>
      <c r="L11" s="307"/>
      <c r="M11" s="308"/>
    </row>
    <row r="12" spans="1:20" ht="24" customHeight="1">
      <c r="A12" s="325"/>
      <c r="B12" s="402"/>
      <c r="C12" s="310"/>
      <c r="D12" s="310"/>
      <c r="E12" s="310"/>
      <c r="F12" s="310"/>
      <c r="G12" s="310"/>
      <c r="H12" s="705" t="s">
        <v>212</v>
      </c>
      <c r="I12" s="706"/>
      <c r="J12" s="706"/>
      <c r="K12" s="707"/>
      <c r="L12" s="326"/>
      <c r="M12" s="299"/>
      <c r="O12" s="445"/>
      <c r="P12" s="709" t="s">
        <v>324</v>
      </c>
      <c r="Q12" s="709"/>
      <c r="R12" s="530" t="s">
        <v>240</v>
      </c>
      <c r="S12" s="445"/>
    </row>
    <row r="13" spans="1:20" ht="24" customHeight="1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722" t="s">
        <v>171</v>
      </c>
      <c r="I13" s="722"/>
      <c r="J13" s="722"/>
      <c r="K13" s="723"/>
      <c r="L13" s="304">
        <v>1</v>
      </c>
      <c r="M13" s="305">
        <f>IF(L13=0,"-",ROUND(L13*B13/B$77,4))</f>
        <v>0.2</v>
      </c>
      <c r="N13" s="429" t="s">
        <v>214</v>
      </c>
      <c r="O13" s="504">
        <v>4</v>
      </c>
      <c r="P13" s="737">
        <v>394600000</v>
      </c>
      <c r="Q13" s="737"/>
      <c r="R13" s="552">
        <v>21.067</v>
      </c>
      <c r="S13" s="292" t="s">
        <v>247</v>
      </c>
      <c r="T13" s="508"/>
    </row>
    <row r="14" spans="1:20" ht="24" customHeight="1">
      <c r="A14" s="309" t="s">
        <v>21</v>
      </c>
      <c r="B14" s="352"/>
      <c r="C14" s="320"/>
      <c r="D14" s="320"/>
      <c r="E14" s="320"/>
      <c r="F14" s="320"/>
      <c r="G14" s="320"/>
      <c r="H14" s="720" t="s">
        <v>83</v>
      </c>
      <c r="I14" s="724"/>
      <c r="J14" s="724"/>
      <c r="K14" s="721"/>
      <c r="L14" s="307"/>
      <c r="M14" s="308"/>
      <c r="N14" s="429" t="s">
        <v>199</v>
      </c>
      <c r="O14" s="445"/>
      <c r="P14" s="445"/>
      <c r="Q14" s="445"/>
      <c r="R14" s="569"/>
      <c r="S14" s="445"/>
    </row>
    <row r="15" spans="1:20" ht="24" customHeight="1">
      <c r="A15" s="309"/>
      <c r="B15" s="352"/>
      <c r="C15" s="320"/>
      <c r="D15" s="320"/>
      <c r="E15" s="320"/>
      <c r="F15" s="320"/>
      <c r="G15" s="320"/>
      <c r="H15" s="720" t="s">
        <v>172</v>
      </c>
      <c r="I15" s="724"/>
      <c r="J15" s="724"/>
      <c r="K15" s="721"/>
      <c r="L15" s="307"/>
      <c r="M15" s="308"/>
      <c r="N15" s="487" t="s">
        <v>237</v>
      </c>
      <c r="O15" s="445"/>
      <c r="P15" s="445"/>
      <c r="Q15" s="445"/>
      <c r="R15" s="445"/>
      <c r="S15" s="445"/>
    </row>
    <row r="16" spans="1:20" ht="24" customHeight="1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32"/>
      <c r="L16" s="307"/>
      <c r="M16" s="308"/>
    </row>
    <row r="17" spans="1:32" ht="24" customHeight="1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32"/>
      <c r="L17" s="307"/>
      <c r="M17" s="308"/>
    </row>
    <row r="18" spans="1:32" ht="24" customHeight="1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570">
        <f>R13</f>
        <v>21.067</v>
      </c>
      <c r="K18" s="532" t="s">
        <v>51</v>
      </c>
      <c r="L18" s="307"/>
      <c r="M18" s="308"/>
    </row>
    <row r="19" spans="1:32" ht="24" customHeight="1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</row>
    <row r="20" spans="1:32" ht="24" customHeight="1">
      <c r="A20" s="302" t="s">
        <v>181</v>
      </c>
      <c r="B20" s="403">
        <v>4</v>
      </c>
      <c r="C20" s="332">
        <v>0.96</v>
      </c>
      <c r="D20" s="332">
        <v>0.97</v>
      </c>
      <c r="E20" s="332">
        <v>0.98</v>
      </c>
      <c r="F20" s="332">
        <v>0.99</v>
      </c>
      <c r="G20" s="332">
        <v>1</v>
      </c>
      <c r="H20" s="536" t="s">
        <v>148</v>
      </c>
      <c r="I20" s="533"/>
      <c r="J20" s="533"/>
      <c r="K20" s="534"/>
      <c r="L20" s="304">
        <v>1</v>
      </c>
      <c r="M20" s="305">
        <f>IF(L20=0,"-",ROUND(L20*B20/B$77,4))</f>
        <v>6.6699999999999995E-2</v>
      </c>
      <c r="N20" s="429" t="s">
        <v>214</v>
      </c>
      <c r="O20" s="454" t="s">
        <v>215</v>
      </c>
      <c r="P20" s="455"/>
      <c r="Q20" s="456"/>
      <c r="R20" s="457">
        <v>46121010</v>
      </c>
      <c r="S20" s="292" t="s">
        <v>187</v>
      </c>
    </row>
    <row r="21" spans="1:32" ht="24" customHeight="1">
      <c r="A21" s="309" t="s">
        <v>26</v>
      </c>
      <c r="B21" s="352"/>
      <c r="C21" s="320"/>
      <c r="D21" s="320"/>
      <c r="E21" s="320"/>
      <c r="F21" s="320"/>
      <c r="G21" s="320"/>
      <c r="H21" s="380" t="s">
        <v>149</v>
      </c>
      <c r="I21" s="381"/>
      <c r="J21" s="381"/>
      <c r="K21" s="382"/>
      <c r="L21" s="307"/>
      <c r="M21" s="308"/>
      <c r="N21" s="452" t="s">
        <v>200</v>
      </c>
      <c r="O21" s="447" t="s">
        <v>216</v>
      </c>
      <c r="P21" s="448"/>
      <c r="Q21" s="450"/>
      <c r="R21" s="477">
        <v>44217271</v>
      </c>
      <c r="S21" s="292" t="s">
        <v>187</v>
      </c>
    </row>
    <row r="22" spans="1:32" ht="24" customHeight="1">
      <c r="A22" s="309"/>
      <c r="B22" s="352"/>
      <c r="C22" s="320"/>
      <c r="D22" s="320"/>
      <c r="E22" s="320"/>
      <c r="F22" s="320"/>
      <c r="G22" s="320"/>
      <c r="H22" s="380" t="s">
        <v>75</v>
      </c>
      <c r="I22" s="381"/>
      <c r="J22" s="381"/>
      <c r="K22" s="382"/>
      <c r="L22" s="307"/>
      <c r="M22" s="308"/>
      <c r="R22" s="436">
        <f>R21*100/R20</f>
        <v>95.872295511308181</v>
      </c>
      <c r="S22" s="292" t="s">
        <v>51</v>
      </c>
    </row>
    <row r="23" spans="1:32" ht="24" customHeight="1">
      <c r="A23" s="309"/>
      <c r="B23" s="352"/>
      <c r="C23" s="320"/>
      <c r="D23" s="320"/>
      <c r="E23" s="320"/>
      <c r="F23" s="320"/>
      <c r="G23" s="320"/>
      <c r="H23" s="380" t="s">
        <v>182</v>
      </c>
      <c r="I23" s="383"/>
      <c r="J23" s="383"/>
      <c r="K23" s="384"/>
      <c r="L23" s="307"/>
      <c r="M23" s="308"/>
      <c r="N23" s="487" t="s">
        <v>237</v>
      </c>
    </row>
    <row r="24" spans="1:32" ht="24" customHeight="1">
      <c r="A24" s="309"/>
      <c r="B24" s="352"/>
      <c r="C24" s="320"/>
      <c r="D24" s="320"/>
      <c r="E24" s="320"/>
      <c r="F24" s="320"/>
      <c r="G24" s="311"/>
      <c r="H24" s="531"/>
      <c r="I24" s="323" t="s">
        <v>56</v>
      </c>
      <c r="J24" s="324">
        <f>R22</f>
        <v>95.872295511308181</v>
      </c>
      <c r="K24" s="532" t="s">
        <v>51</v>
      </c>
      <c r="L24" s="307"/>
      <c r="M24" s="308"/>
    </row>
    <row r="25" spans="1:32" ht="24" customHeight="1">
      <c r="A25" s="325"/>
      <c r="B25" s="359"/>
      <c r="C25" s="310"/>
      <c r="D25" s="310"/>
      <c r="E25" s="310"/>
      <c r="F25" s="310"/>
      <c r="G25" s="310"/>
      <c r="H25" s="329"/>
      <c r="I25" s="427"/>
      <c r="J25" s="427"/>
      <c r="K25" s="428"/>
      <c r="L25" s="326"/>
      <c r="M25" s="299"/>
    </row>
    <row r="26" spans="1:32" ht="24" customHeight="1">
      <c r="A26" s="302" t="s">
        <v>183</v>
      </c>
      <c r="B26" s="403">
        <v>4</v>
      </c>
      <c r="C26" s="332">
        <v>0.8</v>
      </c>
      <c r="D26" s="332">
        <v>0.85</v>
      </c>
      <c r="E26" s="332">
        <v>0.9</v>
      </c>
      <c r="F26" s="332">
        <v>0.95</v>
      </c>
      <c r="G26" s="332">
        <v>1</v>
      </c>
      <c r="H26" s="386" t="s">
        <v>150</v>
      </c>
      <c r="I26" s="387"/>
      <c r="J26" s="387"/>
      <c r="K26" s="388"/>
      <c r="L26" s="304">
        <v>5</v>
      </c>
      <c r="M26" s="305">
        <f>IF(L26=0,"-",ROUND(L26*B26/B$77,4))</f>
        <v>0.33329999999999999</v>
      </c>
      <c r="N26" s="429" t="s">
        <v>214</v>
      </c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</row>
    <row r="27" spans="1:32" ht="24" customHeight="1">
      <c r="A27" s="309" t="s">
        <v>28</v>
      </c>
      <c r="B27" s="352"/>
      <c r="C27" s="320"/>
      <c r="D27" s="320"/>
      <c r="E27" s="320"/>
      <c r="F27" s="320"/>
      <c r="G27" s="320"/>
      <c r="H27" s="531" t="s">
        <v>154</v>
      </c>
      <c r="I27" s="535"/>
      <c r="J27" s="535"/>
      <c r="K27" s="532"/>
      <c r="L27" s="307"/>
      <c r="M27" s="308"/>
      <c r="N27" s="452" t="s">
        <v>201</v>
      </c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  <c r="AF27" s="356"/>
    </row>
    <row r="28" spans="1:32" ht="24" customHeight="1">
      <c r="A28" s="309" t="s">
        <v>60</v>
      </c>
      <c r="B28" s="352"/>
      <c r="C28" s="320"/>
      <c r="D28" s="320"/>
      <c r="E28" s="320"/>
      <c r="F28" s="320"/>
      <c r="G28" s="320"/>
      <c r="H28" s="531" t="s">
        <v>64</v>
      </c>
      <c r="I28" s="535"/>
      <c r="J28" s="535"/>
      <c r="K28" s="532"/>
      <c r="L28" s="307"/>
      <c r="M28" s="308"/>
      <c r="N28" s="487" t="s">
        <v>237</v>
      </c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  <c r="AE28" s="356"/>
      <c r="AF28" s="356"/>
    </row>
    <row r="29" spans="1:32" ht="24" customHeight="1">
      <c r="A29" s="309"/>
      <c r="B29" s="352"/>
      <c r="C29" s="320"/>
      <c r="D29" s="320"/>
      <c r="E29" s="320"/>
      <c r="F29" s="320"/>
      <c r="G29" s="320"/>
      <c r="H29" s="380" t="s">
        <v>180</v>
      </c>
      <c r="I29" s="323"/>
      <c r="J29" s="322" t="s">
        <v>343</v>
      </c>
      <c r="K29" s="382"/>
      <c r="L29" s="307"/>
      <c r="M29" s="308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</row>
    <row r="30" spans="1:32" ht="24" customHeight="1">
      <c r="A30" s="309"/>
      <c r="B30" s="352"/>
      <c r="C30" s="320"/>
      <c r="D30" s="320"/>
      <c r="E30" s="320"/>
      <c r="F30" s="320"/>
      <c r="G30" s="320"/>
      <c r="H30" s="380"/>
      <c r="I30" s="323" t="s">
        <v>66</v>
      </c>
      <c r="J30" s="334">
        <v>3</v>
      </c>
      <c r="K30" s="382" t="s">
        <v>61</v>
      </c>
      <c r="L30" s="307"/>
      <c r="M30" s="308"/>
      <c r="O30" s="356"/>
      <c r="P30" s="356"/>
      <c r="Q30" s="356"/>
      <c r="R30" s="356"/>
      <c r="S30" s="356"/>
      <c r="T30" s="356"/>
      <c r="U30" s="356"/>
      <c r="V30" s="357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</row>
    <row r="31" spans="1:32" ht="24" customHeight="1">
      <c r="A31" s="309"/>
      <c r="B31" s="352"/>
      <c r="C31" s="320"/>
      <c r="D31" s="320"/>
      <c r="E31" s="320"/>
      <c r="F31" s="320"/>
      <c r="G31" s="320"/>
      <c r="H31" s="380"/>
      <c r="I31" s="323" t="s">
        <v>67</v>
      </c>
      <c r="J31" s="334">
        <v>3</v>
      </c>
      <c r="K31" s="382" t="s">
        <v>61</v>
      </c>
      <c r="L31" s="307"/>
      <c r="M31" s="308"/>
      <c r="N31" s="429"/>
      <c r="O31" s="356"/>
      <c r="P31" s="356"/>
      <c r="Q31" s="356"/>
      <c r="R31" s="356"/>
      <c r="S31" s="356"/>
      <c r="T31" s="356"/>
      <c r="U31" s="356"/>
      <c r="V31" s="357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</row>
    <row r="32" spans="1:32" ht="24" customHeight="1">
      <c r="A32" s="309"/>
      <c r="B32" s="352"/>
      <c r="C32" s="320"/>
      <c r="D32" s="320"/>
      <c r="E32" s="320"/>
      <c r="F32" s="320"/>
      <c r="G32" s="320"/>
      <c r="H32" s="531"/>
      <c r="I32" s="323" t="s">
        <v>81</v>
      </c>
      <c r="J32" s="334">
        <f>J31*100/J30</f>
        <v>100</v>
      </c>
      <c r="K32" s="532" t="s">
        <v>51</v>
      </c>
      <c r="L32" s="307"/>
      <c r="M32" s="308"/>
    </row>
    <row r="33" spans="1:14" ht="24" customHeight="1">
      <c r="A33" s="325"/>
      <c r="B33" s="359"/>
      <c r="C33" s="310"/>
      <c r="D33" s="310"/>
      <c r="E33" s="310"/>
      <c r="F33" s="310"/>
      <c r="G33" s="310"/>
      <c r="H33" s="527"/>
      <c r="I33" s="427"/>
      <c r="J33" s="427"/>
      <c r="K33" s="428"/>
      <c r="L33" s="326"/>
      <c r="M33" s="299"/>
    </row>
    <row r="34" spans="1:14" ht="24" customHeight="1">
      <c r="A34" s="302" t="s">
        <v>184</v>
      </c>
      <c r="B34" s="403">
        <v>4</v>
      </c>
      <c r="C34" s="332">
        <v>0.5</v>
      </c>
      <c r="D34" s="332">
        <v>0.75</v>
      </c>
      <c r="E34" s="332">
        <v>1</v>
      </c>
      <c r="F34" s="332">
        <v>1</v>
      </c>
      <c r="G34" s="332">
        <v>1</v>
      </c>
      <c r="H34" s="536" t="s">
        <v>152</v>
      </c>
      <c r="I34" s="533"/>
      <c r="J34" s="533"/>
      <c r="K34" s="534"/>
      <c r="L34" s="304">
        <v>1</v>
      </c>
      <c r="M34" s="305">
        <f>IF(L34=0,"-",ROUND(L34*B34/B$77,4))</f>
        <v>6.6699999999999995E-2</v>
      </c>
      <c r="N34" s="429" t="s">
        <v>214</v>
      </c>
    </row>
    <row r="35" spans="1:14" ht="24" customHeight="1">
      <c r="A35" s="309" t="s">
        <v>151</v>
      </c>
      <c r="B35" s="406"/>
      <c r="C35" s="335"/>
      <c r="D35" s="335"/>
      <c r="E35" s="335"/>
      <c r="F35" s="335" t="s">
        <v>70</v>
      </c>
      <c r="G35" s="335" t="s">
        <v>70</v>
      </c>
      <c r="H35" s="535" t="s">
        <v>153</v>
      </c>
      <c r="I35" s="535"/>
      <c r="J35" s="535"/>
      <c r="K35" s="532"/>
      <c r="L35" s="307"/>
      <c r="M35" s="308"/>
      <c r="N35" s="487" t="s">
        <v>237</v>
      </c>
    </row>
    <row r="36" spans="1:14" ht="24" customHeight="1">
      <c r="A36" s="309"/>
      <c r="B36" s="406"/>
      <c r="C36" s="335"/>
      <c r="D36" s="335"/>
      <c r="E36" s="335"/>
      <c r="F36" s="335" t="s">
        <v>137</v>
      </c>
      <c r="G36" s="335" t="s">
        <v>138</v>
      </c>
      <c r="H36" s="535" t="s">
        <v>180</v>
      </c>
      <c r="I36" s="535"/>
      <c r="J36" s="535"/>
      <c r="K36" s="532"/>
      <c r="L36" s="307"/>
      <c r="M36" s="308"/>
    </row>
    <row r="37" spans="1:14" ht="24" customHeight="1">
      <c r="A37" s="309"/>
      <c r="B37" s="406"/>
      <c r="C37" s="336"/>
      <c r="D37" s="336"/>
      <c r="E37" s="336"/>
      <c r="F37" s="336"/>
      <c r="G37" s="390"/>
      <c r="H37" s="531"/>
      <c r="I37" s="323" t="s">
        <v>56</v>
      </c>
      <c r="J37" s="324">
        <v>50</v>
      </c>
      <c r="K37" s="532" t="s">
        <v>51</v>
      </c>
      <c r="L37" s="307"/>
      <c r="M37" s="308"/>
    </row>
    <row r="38" spans="1:14" ht="24" customHeight="1">
      <c r="A38" s="325"/>
      <c r="B38" s="359"/>
      <c r="C38" s="310"/>
      <c r="D38" s="310"/>
      <c r="E38" s="310"/>
      <c r="F38" s="310"/>
      <c r="G38" s="310"/>
      <c r="H38" s="527"/>
      <c r="I38" s="528"/>
      <c r="J38" s="528"/>
      <c r="K38" s="529"/>
      <c r="L38" s="326"/>
      <c r="M38" s="299"/>
    </row>
    <row r="39" spans="1:14" ht="23.25">
      <c r="A39" s="302" t="s">
        <v>185</v>
      </c>
      <c r="B39" s="403">
        <v>12</v>
      </c>
      <c r="C39" s="332">
        <v>0.78</v>
      </c>
      <c r="D39" s="332">
        <v>0.81</v>
      </c>
      <c r="E39" s="332">
        <v>0.84</v>
      </c>
      <c r="F39" s="332">
        <v>0.87</v>
      </c>
      <c r="G39" s="332">
        <v>0.9</v>
      </c>
      <c r="H39" s="536" t="s">
        <v>186</v>
      </c>
      <c r="I39" s="533"/>
      <c r="J39" s="533"/>
      <c r="K39" s="534"/>
      <c r="L39" s="304">
        <v>1</v>
      </c>
      <c r="M39" s="305">
        <f>IF(L39=0,"-",ROUND(L39*B39/B$77,4))</f>
        <v>0.2</v>
      </c>
      <c r="N39" s="429" t="s">
        <v>199</v>
      </c>
    </row>
    <row r="40" spans="1:14" ht="23.25">
      <c r="A40" s="309" t="s">
        <v>85</v>
      </c>
      <c r="B40" s="352"/>
      <c r="C40" s="320"/>
      <c r="D40" s="320"/>
      <c r="E40" s="320"/>
      <c r="F40" s="320"/>
      <c r="G40" s="320"/>
      <c r="H40" s="531" t="s">
        <v>196</v>
      </c>
      <c r="I40" s="535"/>
      <c r="J40" s="535"/>
      <c r="K40" s="532"/>
      <c r="L40" s="307"/>
      <c r="M40" s="308"/>
      <c r="N40" s="487" t="s">
        <v>237</v>
      </c>
    </row>
    <row r="41" spans="1:14" ht="23.25">
      <c r="A41" s="309"/>
      <c r="B41" s="352"/>
      <c r="C41" s="320"/>
      <c r="D41" s="320"/>
      <c r="E41" s="320"/>
      <c r="F41" s="320"/>
      <c r="G41" s="320"/>
      <c r="H41" s="327"/>
      <c r="I41" s="327" t="s">
        <v>87</v>
      </c>
      <c r="J41" s="433">
        <v>207820000</v>
      </c>
      <c r="K41" s="532" t="s">
        <v>187</v>
      </c>
      <c r="L41" s="307"/>
      <c r="M41" s="308"/>
    </row>
    <row r="42" spans="1:14" ht="23.25">
      <c r="A42" s="309"/>
      <c r="B42" s="352"/>
      <c r="C42" s="320"/>
      <c r="D42" s="320"/>
      <c r="E42" s="320"/>
      <c r="F42" s="320"/>
      <c r="G42" s="320"/>
      <c r="H42" s="327"/>
      <c r="I42" s="323" t="s">
        <v>188</v>
      </c>
      <c r="J42" s="434">
        <v>77180000</v>
      </c>
      <c r="K42" s="532" t="s">
        <v>187</v>
      </c>
      <c r="L42" s="307"/>
      <c r="M42" s="308"/>
    </row>
    <row r="43" spans="1:14" ht="23.25">
      <c r="A43" s="309"/>
      <c r="B43" s="352"/>
      <c r="C43" s="320"/>
      <c r="D43" s="320"/>
      <c r="E43" s="320"/>
      <c r="F43" s="320"/>
      <c r="G43" s="320"/>
      <c r="H43" s="327"/>
      <c r="I43" s="323" t="s">
        <v>189</v>
      </c>
      <c r="J43" s="430">
        <f>J42*100/J41</f>
        <v>37.137907804831102</v>
      </c>
      <c r="K43" s="532" t="s">
        <v>51</v>
      </c>
      <c r="L43" s="307"/>
      <c r="M43" s="308"/>
    </row>
    <row r="44" spans="1:14" ht="23.25">
      <c r="A44" s="325"/>
      <c r="B44" s="359"/>
      <c r="C44" s="310"/>
      <c r="D44" s="310"/>
      <c r="E44" s="310"/>
      <c r="F44" s="310"/>
      <c r="G44" s="310"/>
      <c r="H44" s="337"/>
      <c r="I44" s="427"/>
      <c r="J44" s="338"/>
      <c r="K44" s="428"/>
      <c r="L44" s="326"/>
      <c r="M44" s="299"/>
    </row>
    <row r="45" spans="1:14" ht="23.25">
      <c r="A45" s="339" t="s">
        <v>190</v>
      </c>
      <c r="B45" s="407">
        <v>4</v>
      </c>
      <c r="C45" s="340">
        <v>0.65</v>
      </c>
      <c r="D45" s="340">
        <v>0.7</v>
      </c>
      <c r="E45" s="340">
        <v>0.75</v>
      </c>
      <c r="F45" s="340">
        <v>0.8</v>
      </c>
      <c r="G45" s="340">
        <v>0.85</v>
      </c>
      <c r="H45" s="536" t="s">
        <v>156</v>
      </c>
      <c r="I45" s="533"/>
      <c r="J45" s="533"/>
      <c r="K45" s="534"/>
      <c r="L45" s="304">
        <v>1</v>
      </c>
      <c r="M45" s="305">
        <f>IF(L45=0,"-",ROUND(L45*B45/B$77,4))</f>
        <v>6.6699999999999995E-2</v>
      </c>
      <c r="N45" s="429" t="s">
        <v>214</v>
      </c>
    </row>
    <row r="46" spans="1:14" ht="23.25">
      <c r="A46" s="309" t="s">
        <v>145</v>
      </c>
      <c r="B46" s="352"/>
      <c r="C46" s="320"/>
      <c r="D46" s="320"/>
      <c r="E46" s="320"/>
      <c r="F46" s="320"/>
      <c r="G46" s="320"/>
      <c r="H46" s="531" t="s">
        <v>104</v>
      </c>
      <c r="I46" s="535"/>
      <c r="J46" s="535"/>
      <c r="K46" s="532"/>
      <c r="L46" s="307"/>
      <c r="M46" s="308"/>
    </row>
    <row r="47" spans="1:14" ht="23.25">
      <c r="A47" s="389" t="s">
        <v>155</v>
      </c>
      <c r="B47" s="352"/>
      <c r="C47" s="320"/>
      <c r="D47" s="320"/>
      <c r="E47" s="320"/>
      <c r="F47" s="320"/>
      <c r="G47" s="320"/>
      <c r="H47" s="531" t="s">
        <v>105</v>
      </c>
      <c r="I47" s="535"/>
      <c r="J47" s="535"/>
      <c r="K47" s="532"/>
      <c r="L47" s="307"/>
      <c r="M47" s="308"/>
    </row>
    <row r="48" spans="1:14" ht="23.25">
      <c r="A48" s="309"/>
      <c r="B48" s="352"/>
      <c r="C48" s="320"/>
      <c r="D48" s="320"/>
      <c r="E48" s="320"/>
      <c r="F48" s="320"/>
      <c r="G48" s="320"/>
      <c r="H48" s="341"/>
      <c r="I48" s="342" t="s">
        <v>113</v>
      </c>
      <c r="J48" s="343" t="s">
        <v>11</v>
      </c>
      <c r="K48" s="532" t="s">
        <v>51</v>
      </c>
      <c r="L48" s="307"/>
      <c r="M48" s="308"/>
    </row>
    <row r="49" spans="1:14" ht="23.25">
      <c r="A49" s="325"/>
      <c r="B49" s="359"/>
      <c r="C49" s="310"/>
      <c r="D49" s="310"/>
      <c r="E49" s="310"/>
      <c r="F49" s="310"/>
      <c r="G49" s="416"/>
      <c r="H49" s="705" t="s">
        <v>211</v>
      </c>
      <c r="I49" s="706"/>
      <c r="J49" s="706"/>
      <c r="K49" s="707"/>
      <c r="L49" s="326"/>
      <c r="M49" s="299"/>
    </row>
    <row r="50" spans="1:14" ht="23.25">
      <c r="A50" s="302" t="s">
        <v>106</v>
      </c>
      <c r="B50" s="407">
        <v>4</v>
      </c>
      <c r="C50" s="346" t="s">
        <v>29</v>
      </c>
      <c r="D50" s="346" t="s">
        <v>30</v>
      </c>
      <c r="E50" s="346" t="s">
        <v>31</v>
      </c>
      <c r="F50" s="346" t="s">
        <v>32</v>
      </c>
      <c r="G50" s="346" t="s">
        <v>33</v>
      </c>
      <c r="H50" s="536" t="s">
        <v>108</v>
      </c>
      <c r="I50" s="533"/>
      <c r="J50" s="533"/>
      <c r="K50" s="534"/>
      <c r="L50" s="304">
        <v>2</v>
      </c>
      <c r="M50" s="305">
        <f>IF(L50=0,"-",ROUND(L50*B50/B$77,4))</f>
        <v>0.1333</v>
      </c>
      <c r="N50" s="429" t="s">
        <v>214</v>
      </c>
    </row>
    <row r="51" spans="1:14" ht="23.25">
      <c r="A51" s="309" t="s">
        <v>107</v>
      </c>
      <c r="B51" s="352"/>
      <c r="C51" s="348">
        <v>1.5</v>
      </c>
      <c r="D51" s="348">
        <v>2</v>
      </c>
      <c r="E51" s="348">
        <v>2.5</v>
      </c>
      <c r="F51" s="348">
        <v>3</v>
      </c>
      <c r="G51" s="348">
        <v>5</v>
      </c>
      <c r="H51" s="531" t="s">
        <v>146</v>
      </c>
      <c r="I51" s="535"/>
      <c r="J51" s="535"/>
      <c r="K51" s="532"/>
      <c r="L51" s="307"/>
      <c r="M51" s="308"/>
      <c r="N51" s="487" t="s">
        <v>237</v>
      </c>
    </row>
    <row r="52" spans="1:14" ht="23.25">
      <c r="A52" s="309"/>
      <c r="B52" s="352"/>
      <c r="C52" s="344"/>
      <c r="D52" s="344"/>
      <c r="E52" s="344"/>
      <c r="F52" s="344"/>
      <c r="G52" s="344"/>
      <c r="H52" s="531" t="s">
        <v>110</v>
      </c>
      <c r="I52" s="535"/>
      <c r="J52" s="535"/>
      <c r="K52" s="532"/>
      <c r="L52" s="307"/>
      <c r="M52" s="308"/>
    </row>
    <row r="53" spans="1:14" ht="23.25">
      <c r="A53" s="309"/>
      <c r="B53" s="352"/>
      <c r="C53" s="344"/>
      <c r="D53" s="344"/>
      <c r="E53" s="344"/>
      <c r="F53" s="344"/>
      <c r="G53" s="344"/>
      <c r="H53" s="531" t="s">
        <v>191</v>
      </c>
      <c r="I53" s="535"/>
      <c r="J53" s="535"/>
      <c r="K53" s="532"/>
      <c r="L53" s="307"/>
      <c r="M53" s="308"/>
    </row>
    <row r="54" spans="1:14" ht="23.25">
      <c r="A54" s="309"/>
      <c r="B54" s="352"/>
      <c r="C54" s="344"/>
      <c r="D54" s="344"/>
      <c r="E54" s="344"/>
      <c r="F54" s="344"/>
      <c r="G54" s="344"/>
      <c r="H54" s="531"/>
      <c r="I54" s="323" t="s">
        <v>112</v>
      </c>
      <c r="J54" s="324">
        <v>2</v>
      </c>
      <c r="K54" s="382"/>
      <c r="L54" s="307"/>
      <c r="M54" s="308"/>
    </row>
    <row r="55" spans="1:14" ht="23.25">
      <c r="A55" s="325"/>
      <c r="B55" s="359"/>
      <c r="C55" s="310"/>
      <c r="D55" s="310"/>
      <c r="E55" s="310"/>
      <c r="F55" s="310"/>
      <c r="G55" s="310"/>
      <c r="H55" s="705"/>
      <c r="I55" s="706"/>
      <c r="J55" s="706"/>
      <c r="K55" s="707"/>
      <c r="L55" s="326"/>
      <c r="M55" s="299"/>
    </row>
    <row r="56" spans="1:14" ht="23.25">
      <c r="A56" s="350" t="s">
        <v>132</v>
      </c>
      <c r="B56" s="407">
        <v>4</v>
      </c>
      <c r="C56" s="340">
        <v>0.1</v>
      </c>
      <c r="D56" s="340">
        <v>0.3</v>
      </c>
      <c r="E56" s="340">
        <v>0.5</v>
      </c>
      <c r="F56" s="340">
        <v>0.7</v>
      </c>
      <c r="G56" s="340">
        <v>1</v>
      </c>
      <c r="H56" s="536" t="s">
        <v>123</v>
      </c>
      <c r="I56" s="533"/>
      <c r="J56" s="533"/>
      <c r="K56" s="534"/>
      <c r="L56" s="304">
        <v>5</v>
      </c>
      <c r="M56" s="305">
        <f>IF(L56=0,"-",ROUND(L56*B56/B$77,4))</f>
        <v>0.33329999999999999</v>
      </c>
      <c r="N56" s="429" t="s">
        <v>202</v>
      </c>
    </row>
    <row r="57" spans="1:14" ht="23.25">
      <c r="A57" s="351" t="s">
        <v>192</v>
      </c>
      <c r="B57" s="352"/>
      <c r="C57" s="320"/>
      <c r="D57" s="320"/>
      <c r="E57" s="320"/>
      <c r="F57" s="320"/>
      <c r="G57" s="311"/>
      <c r="H57" s="531" t="s">
        <v>124</v>
      </c>
      <c r="I57" s="322"/>
      <c r="J57" s="353"/>
      <c r="K57" s="354"/>
      <c r="L57" s="355"/>
      <c r="M57" s="308"/>
      <c r="N57" s="487" t="s">
        <v>237</v>
      </c>
    </row>
    <row r="58" spans="1:14" ht="23.25">
      <c r="A58" s="351"/>
      <c r="B58" s="352"/>
      <c r="C58" s="320"/>
      <c r="D58" s="320"/>
      <c r="E58" s="320"/>
      <c r="F58" s="320"/>
      <c r="G58" s="320"/>
      <c r="H58" s="535" t="s">
        <v>125</v>
      </c>
      <c r="I58" s="322"/>
      <c r="J58" s="353"/>
      <c r="K58" s="354"/>
      <c r="L58" s="355"/>
      <c r="M58" s="308"/>
    </row>
    <row r="59" spans="1:14" ht="23.25">
      <c r="A59" s="351"/>
      <c r="B59" s="352"/>
      <c r="C59" s="320"/>
      <c r="D59" s="320"/>
      <c r="E59" s="320"/>
      <c r="F59" s="320"/>
      <c r="G59" s="320"/>
      <c r="H59" s="531" t="s">
        <v>126</v>
      </c>
      <c r="I59" s="322"/>
      <c r="J59" s="353"/>
      <c r="K59" s="354"/>
      <c r="L59" s="355"/>
      <c r="M59" s="308"/>
    </row>
    <row r="60" spans="1:14" ht="23.25">
      <c r="A60" s="351"/>
      <c r="B60" s="352"/>
      <c r="C60" s="320"/>
      <c r="D60" s="320"/>
      <c r="E60" s="320"/>
      <c r="F60" s="320"/>
      <c r="G60" s="320"/>
      <c r="H60" s="531" t="s">
        <v>127</v>
      </c>
      <c r="I60" s="322"/>
      <c r="J60" s="353"/>
      <c r="K60" s="354"/>
      <c r="L60" s="355"/>
      <c r="M60" s="308"/>
    </row>
    <row r="61" spans="1:14" ht="23.25">
      <c r="A61" s="351"/>
      <c r="B61" s="352"/>
      <c r="C61" s="320"/>
      <c r="D61" s="320"/>
      <c r="E61" s="320"/>
      <c r="F61" s="320"/>
      <c r="G61" s="320"/>
      <c r="H61" s="531"/>
      <c r="I61" s="323" t="s">
        <v>114</v>
      </c>
      <c r="J61" s="408">
        <v>100</v>
      </c>
      <c r="K61" s="382" t="s">
        <v>51</v>
      </c>
      <c r="L61" s="355"/>
      <c r="M61" s="308"/>
    </row>
    <row r="62" spans="1:14" ht="23.25">
      <c r="A62" s="358"/>
      <c r="B62" s="359"/>
      <c r="C62" s="310"/>
      <c r="D62" s="310"/>
      <c r="E62" s="310"/>
      <c r="F62" s="310"/>
      <c r="G62" s="310"/>
      <c r="H62" s="330"/>
      <c r="I62" s="427"/>
      <c r="J62" s="427"/>
      <c r="K62" s="428"/>
      <c r="L62" s="360"/>
      <c r="M62" s="299"/>
    </row>
    <row r="63" spans="1:14" ht="23.25">
      <c r="A63" s="302" t="s">
        <v>115</v>
      </c>
      <c r="B63" s="407">
        <v>4</v>
      </c>
      <c r="C63" s="361">
        <v>0.8</v>
      </c>
      <c r="D63" s="361">
        <v>0.85</v>
      </c>
      <c r="E63" s="361">
        <v>0.9</v>
      </c>
      <c r="F63" s="361">
        <v>0.95</v>
      </c>
      <c r="G63" s="361">
        <v>1</v>
      </c>
      <c r="H63" s="536" t="s">
        <v>157</v>
      </c>
      <c r="I63" s="533"/>
      <c r="J63" s="533"/>
      <c r="K63" s="534"/>
      <c r="L63" s="304">
        <v>5</v>
      </c>
      <c r="M63" s="305">
        <f>IF(L63=0,"-",ROUND(L63*B63/B$77,4))</f>
        <v>0.33329999999999999</v>
      </c>
    </row>
    <row r="64" spans="1:14" ht="23.25">
      <c r="A64" s="309" t="s">
        <v>116</v>
      </c>
      <c r="B64" s="352"/>
      <c r="C64" s="348"/>
      <c r="D64" s="348"/>
      <c r="E64" s="348"/>
      <c r="F64" s="348"/>
      <c r="G64" s="348"/>
      <c r="H64" s="531" t="s">
        <v>158</v>
      </c>
      <c r="I64" s="535"/>
      <c r="J64" s="535"/>
      <c r="K64" s="532"/>
      <c r="L64" s="362"/>
      <c r="M64" s="308"/>
    </row>
    <row r="65" spans="1:13" ht="23.25">
      <c r="A65" s="309" t="s">
        <v>193</v>
      </c>
      <c r="B65" s="352"/>
      <c r="C65" s="320"/>
      <c r="D65" s="320"/>
      <c r="E65" s="320"/>
      <c r="F65" s="320"/>
      <c r="G65" s="320"/>
      <c r="H65" s="531" t="s">
        <v>197</v>
      </c>
      <c r="I65" s="535"/>
      <c r="J65" s="535"/>
      <c r="K65" s="532"/>
      <c r="L65" s="362"/>
      <c r="M65" s="308"/>
    </row>
    <row r="66" spans="1:13" ht="23.25">
      <c r="A66" s="309"/>
      <c r="B66" s="352"/>
      <c r="C66" s="320"/>
      <c r="D66" s="320"/>
      <c r="E66" s="320"/>
      <c r="F66" s="320"/>
      <c r="G66" s="320"/>
      <c r="H66" s="531" t="s">
        <v>120</v>
      </c>
      <c r="I66" s="535"/>
      <c r="J66" s="535"/>
      <c r="K66" s="532"/>
      <c r="L66" s="362"/>
      <c r="M66" s="308"/>
    </row>
    <row r="67" spans="1:13" ht="23.25">
      <c r="A67" s="309"/>
      <c r="B67" s="352"/>
      <c r="C67" s="320"/>
      <c r="D67" s="320"/>
      <c r="E67" s="320"/>
      <c r="F67" s="320"/>
      <c r="G67" s="320"/>
      <c r="H67" s="531" t="s">
        <v>194</v>
      </c>
      <c r="I67" s="535"/>
      <c r="J67" s="535"/>
      <c r="K67" s="532"/>
      <c r="L67" s="362"/>
      <c r="M67" s="308"/>
    </row>
    <row r="68" spans="1:13" ht="23.25">
      <c r="A68" s="309"/>
      <c r="B68" s="352"/>
      <c r="C68" s="320"/>
      <c r="D68" s="320"/>
      <c r="E68" s="320"/>
      <c r="F68" s="320"/>
      <c r="G68" s="344"/>
      <c r="H68" s="531" t="s">
        <v>195</v>
      </c>
      <c r="I68" s="345"/>
      <c r="J68" s="408">
        <v>100</v>
      </c>
      <c r="K68" s="414" t="s">
        <v>51</v>
      </c>
      <c r="L68" s="413"/>
      <c r="M68" s="308"/>
    </row>
    <row r="69" spans="1:13" ht="23.25">
      <c r="A69" s="358"/>
      <c r="B69" s="415"/>
      <c r="C69" s="412"/>
      <c r="D69" s="412"/>
      <c r="E69" s="412"/>
      <c r="F69" s="412"/>
      <c r="G69" s="329"/>
      <c r="H69" s="538"/>
      <c r="I69" s="418"/>
      <c r="J69" s="419"/>
      <c r="K69" s="417"/>
      <c r="L69" s="420"/>
      <c r="M69" s="308"/>
    </row>
    <row r="70" spans="1:13" ht="23.25">
      <c r="A70" s="351" t="s">
        <v>316</v>
      </c>
      <c r="B70" s="543">
        <v>4</v>
      </c>
      <c r="C70" s="544">
        <v>0.4</v>
      </c>
      <c r="D70" s="544">
        <v>0.45</v>
      </c>
      <c r="E70" s="544">
        <v>0.5</v>
      </c>
      <c r="F70" s="544">
        <v>0.55000000000000004</v>
      </c>
      <c r="G70" s="544">
        <v>0.6</v>
      </c>
      <c r="H70" s="531" t="s">
        <v>317</v>
      </c>
      <c r="I70" s="345"/>
      <c r="J70" s="545"/>
      <c r="K70" s="546"/>
      <c r="L70" s="413">
        <v>3</v>
      </c>
      <c r="M70" s="305">
        <f>IF(L70=0,"-",ROUND(L70*B70/B$77,4))</f>
        <v>0.2</v>
      </c>
    </row>
    <row r="71" spans="1:13" ht="23.25">
      <c r="A71" s="351" t="s">
        <v>318</v>
      </c>
      <c r="B71" s="406"/>
      <c r="C71" s="311"/>
      <c r="D71" s="311"/>
      <c r="E71" s="311"/>
      <c r="F71" s="311"/>
      <c r="G71" s="333"/>
      <c r="H71" s="531" t="s">
        <v>319</v>
      </c>
      <c r="I71" s="345"/>
      <c r="J71" s="545"/>
      <c r="K71" s="546"/>
      <c r="L71" s="413"/>
      <c r="M71" s="308"/>
    </row>
    <row r="72" spans="1:13" ht="23.25">
      <c r="A72" s="351"/>
      <c r="B72" s="406"/>
      <c r="C72" s="311"/>
      <c r="D72" s="311"/>
      <c r="E72" s="311"/>
      <c r="F72" s="311"/>
      <c r="G72" s="333"/>
      <c r="H72" s="531"/>
      <c r="I72" s="345"/>
      <c r="J72" s="545"/>
      <c r="K72" s="546"/>
      <c r="L72" s="413"/>
      <c r="M72" s="308"/>
    </row>
    <row r="73" spans="1:13" ht="23.25">
      <c r="A73" s="351"/>
      <c r="B73" s="406"/>
      <c r="C73" s="311"/>
      <c r="D73" s="311"/>
      <c r="E73" s="311"/>
      <c r="F73" s="311"/>
      <c r="G73" s="333"/>
      <c r="H73" s="531"/>
      <c r="I73" s="345" t="s">
        <v>174</v>
      </c>
      <c r="J73" s="547">
        <v>50</v>
      </c>
      <c r="K73" s="414" t="s">
        <v>51</v>
      </c>
      <c r="L73" s="413"/>
      <c r="M73" s="308"/>
    </row>
    <row r="74" spans="1:13" ht="23.25">
      <c r="A74" s="351"/>
      <c r="B74" s="406"/>
      <c r="C74" s="311"/>
      <c r="D74" s="311"/>
      <c r="E74" s="311"/>
      <c r="F74" s="311"/>
      <c r="G74" s="333"/>
      <c r="H74" s="531"/>
      <c r="I74" s="345"/>
      <c r="J74" s="545"/>
      <c r="K74" s="546"/>
      <c r="L74" s="413"/>
      <c r="M74" s="308"/>
    </row>
    <row r="75" spans="1:13" ht="23.25">
      <c r="A75" s="351"/>
      <c r="B75" s="406"/>
      <c r="C75" s="311"/>
      <c r="D75" s="311"/>
      <c r="E75" s="311"/>
      <c r="F75" s="311"/>
      <c r="G75" s="333"/>
      <c r="H75" s="531"/>
      <c r="I75" s="345"/>
      <c r="J75" s="545"/>
      <c r="K75" s="546"/>
      <c r="L75" s="413"/>
      <c r="M75" s="308"/>
    </row>
    <row r="76" spans="1:13" ht="23.25">
      <c r="A76" s="358"/>
      <c r="B76" s="415"/>
      <c r="C76" s="412"/>
      <c r="D76" s="412"/>
      <c r="E76" s="412"/>
      <c r="F76" s="412"/>
      <c r="G76" s="416"/>
      <c r="H76" s="538"/>
      <c r="I76" s="345"/>
      <c r="J76" s="545"/>
      <c r="K76" s="417"/>
      <c r="L76" s="413"/>
      <c r="M76" s="308"/>
    </row>
    <row r="77" spans="1:13" ht="26.25">
      <c r="A77" s="363"/>
      <c r="B77" s="409">
        <f>ROUND(SUM(B6:B76),1)</f>
        <v>60</v>
      </c>
      <c r="C77" s="364"/>
      <c r="D77" s="364"/>
      <c r="E77" s="364"/>
      <c r="F77" s="364"/>
      <c r="G77" s="365"/>
      <c r="H77" s="364"/>
      <c r="I77" s="364"/>
      <c r="J77" s="364"/>
      <c r="K77" s="364"/>
      <c r="L77" s="366" t="s">
        <v>139</v>
      </c>
      <c r="M77" s="410">
        <f>SUM(M6:M76)</f>
        <v>1.9999999999999998</v>
      </c>
    </row>
  </sheetData>
  <mergeCells count="18">
    <mergeCell ref="P12:Q12"/>
    <mergeCell ref="A1:M1"/>
    <mergeCell ref="A2:M2"/>
    <mergeCell ref="C4:G4"/>
    <mergeCell ref="H4:K5"/>
    <mergeCell ref="L4:L5"/>
    <mergeCell ref="H6:K6"/>
    <mergeCell ref="H55:K55"/>
    <mergeCell ref="H7:K7"/>
    <mergeCell ref="H8:K8"/>
    <mergeCell ref="H9:K9"/>
    <mergeCell ref="H10:K10"/>
    <mergeCell ref="H12:K12"/>
    <mergeCell ref="H13:K13"/>
    <mergeCell ref="P13:Q13"/>
    <mergeCell ref="H14:K14"/>
    <mergeCell ref="H15:K15"/>
    <mergeCell ref="H49:K49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5" max="12" man="1"/>
    <brk id="49" max="12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F83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8" width="9.140625" style="292"/>
    <col min="19" max="19" width="9.42578125" style="292" bestFit="1" customWidth="1"/>
    <col min="20" max="20" width="9.140625" style="292"/>
    <col min="21" max="21" width="11.7109375" style="292" bestFit="1" customWidth="1"/>
    <col min="22" max="22" width="10.5703125" style="292" bestFit="1" customWidth="1"/>
    <col min="23" max="24" width="9.140625" style="292"/>
    <col min="25" max="25" width="58.140625" style="292" bestFit="1" customWidth="1"/>
    <col min="26" max="27" width="9.85546875" style="292" bestFit="1" customWidth="1"/>
    <col min="28" max="29" width="9.140625" style="292"/>
    <col min="30" max="30" width="13.7109375" style="292" bestFit="1" customWidth="1"/>
    <col min="31" max="16384" width="9.140625" style="292"/>
  </cols>
  <sheetData>
    <row r="1" spans="1:19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19" ht="24" customHeight="1">
      <c r="A2" s="710" t="s">
        <v>344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19" ht="24" customHeight="1">
      <c r="A3" s="293" t="s">
        <v>321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  <c r="O3" s="429" t="s">
        <v>345</v>
      </c>
    </row>
    <row r="4" spans="1:19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</row>
    <row r="5" spans="1:19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34"/>
      <c r="I5" s="735"/>
      <c r="J5" s="735"/>
      <c r="K5" s="736"/>
      <c r="L5" s="719"/>
      <c r="M5" s="301" t="s">
        <v>9</v>
      </c>
    </row>
    <row r="6" spans="1:19" ht="24" customHeight="1">
      <c r="A6" s="302" t="s">
        <v>165</v>
      </c>
      <c r="B6" s="391">
        <v>12</v>
      </c>
      <c r="C6" s="313">
        <v>3140</v>
      </c>
      <c r="D6" s="313">
        <v>3230</v>
      </c>
      <c r="E6" s="313">
        <v>3321</v>
      </c>
      <c r="F6" s="313">
        <v>3412</v>
      </c>
      <c r="G6" s="313">
        <v>3502</v>
      </c>
      <c r="H6" s="727" t="s">
        <v>14</v>
      </c>
      <c r="I6" s="728"/>
      <c r="J6" s="730" t="s">
        <v>15</v>
      </c>
      <c r="K6" s="730"/>
      <c r="L6" s="304">
        <v>5</v>
      </c>
      <c r="M6" s="305">
        <f>IF(L6=0,"-",ROUND(L6*B6/B$83,4))</f>
        <v>0.83330000000000004</v>
      </c>
      <c r="N6" s="429" t="s">
        <v>214</v>
      </c>
    </row>
    <row r="7" spans="1:19" ht="24" customHeight="1">
      <c r="A7" s="309" t="s">
        <v>166</v>
      </c>
      <c r="B7" s="399"/>
      <c r="C7" s="316" t="s">
        <v>38</v>
      </c>
      <c r="D7" s="316" t="s">
        <v>38</v>
      </c>
      <c r="E7" s="316" t="s">
        <v>39</v>
      </c>
      <c r="F7" s="316" t="s">
        <v>38</v>
      </c>
      <c r="G7" s="316" t="s">
        <v>38</v>
      </c>
      <c r="H7" s="729"/>
      <c r="I7" s="708"/>
      <c r="J7" s="530" t="s">
        <v>17</v>
      </c>
      <c r="K7" s="367" t="s">
        <v>18</v>
      </c>
      <c r="L7" s="307"/>
      <c r="M7" s="308"/>
      <c r="N7" s="487" t="s">
        <v>237</v>
      </c>
    </row>
    <row r="8" spans="1:19" ht="24" customHeight="1">
      <c r="A8" s="309"/>
      <c r="B8" s="399"/>
      <c r="C8" s="320"/>
      <c r="D8" s="320"/>
      <c r="E8" s="320"/>
      <c r="F8" s="320"/>
      <c r="G8" s="320"/>
      <c r="H8" s="536" t="s">
        <v>19</v>
      </c>
      <c r="I8" s="534"/>
      <c r="J8" s="398">
        <v>3800</v>
      </c>
      <c r="K8" s="571">
        <v>3800</v>
      </c>
      <c r="L8" s="307"/>
      <c r="M8" s="308"/>
      <c r="N8" s="429"/>
      <c r="S8" s="315"/>
    </row>
    <row r="9" spans="1:19" ht="24" customHeight="1">
      <c r="A9" s="309"/>
      <c r="B9" s="399"/>
      <c r="C9" s="320"/>
      <c r="D9" s="320"/>
      <c r="E9" s="320"/>
      <c r="F9" s="320"/>
      <c r="G9" s="320"/>
      <c r="H9" s="720" t="s">
        <v>140</v>
      </c>
      <c r="I9" s="721"/>
      <c r="J9" s="400"/>
      <c r="K9" s="368"/>
      <c r="L9" s="307"/>
      <c r="M9" s="308"/>
      <c r="S9" s="315"/>
    </row>
    <row r="10" spans="1:19" ht="24" customHeight="1">
      <c r="A10" s="309"/>
      <c r="B10" s="399"/>
      <c r="C10" s="320"/>
      <c r="D10" s="320"/>
      <c r="E10" s="320"/>
      <c r="F10" s="320"/>
      <c r="G10" s="320"/>
      <c r="H10" s="720"/>
      <c r="I10" s="721"/>
      <c r="J10" s="400"/>
      <c r="K10" s="321"/>
      <c r="L10" s="307"/>
      <c r="M10" s="308"/>
      <c r="S10" s="315"/>
    </row>
    <row r="11" spans="1:19" ht="24" customHeight="1" thickBot="1">
      <c r="A11" s="309"/>
      <c r="B11" s="399"/>
      <c r="C11" s="320"/>
      <c r="D11" s="320"/>
      <c r="E11" s="320"/>
      <c r="F11" s="320"/>
      <c r="G11" s="320"/>
      <c r="H11" s="725" t="s">
        <v>20</v>
      </c>
      <c r="I11" s="725"/>
      <c r="J11" s="401">
        <f>SUM(J8:J10)</f>
        <v>3800</v>
      </c>
      <c r="K11" s="432">
        <f>K8</f>
        <v>3800</v>
      </c>
      <c r="L11" s="307"/>
      <c r="M11" s="308"/>
      <c r="N11" s="429"/>
      <c r="S11" s="315"/>
    </row>
    <row r="12" spans="1:19" ht="24" customHeight="1" thickTop="1">
      <c r="A12" s="302" t="s">
        <v>169</v>
      </c>
      <c r="B12" s="391">
        <v>4</v>
      </c>
      <c r="C12" s="303">
        <v>0.65</v>
      </c>
      <c r="D12" s="303">
        <v>0.7</v>
      </c>
      <c r="E12" s="303">
        <v>0.75</v>
      </c>
      <c r="F12" s="303">
        <v>0.8</v>
      </c>
      <c r="G12" s="303">
        <v>0.85</v>
      </c>
      <c r="H12" s="726" t="s">
        <v>141</v>
      </c>
      <c r="I12" s="722"/>
      <c r="J12" s="722"/>
      <c r="K12" s="723"/>
      <c r="L12" s="304">
        <v>1</v>
      </c>
      <c r="M12" s="305">
        <f>IF(L12=0,"-",ROUND(L12*B12/B$83,4))</f>
        <v>5.5599999999999997E-2</v>
      </c>
      <c r="N12" s="429" t="s">
        <v>214</v>
      </c>
      <c r="S12" s="315"/>
    </row>
    <row r="13" spans="1:19" ht="24" customHeight="1">
      <c r="A13" s="309" t="s">
        <v>44</v>
      </c>
      <c r="B13" s="399"/>
      <c r="C13" s="320"/>
      <c r="D13" s="320"/>
      <c r="E13" s="320"/>
      <c r="F13" s="320"/>
      <c r="G13" s="320"/>
      <c r="H13" s="720" t="s">
        <v>142</v>
      </c>
      <c r="I13" s="724"/>
      <c r="J13" s="724"/>
      <c r="K13" s="721"/>
      <c r="L13" s="307"/>
      <c r="M13" s="308"/>
      <c r="N13" s="487" t="s">
        <v>237</v>
      </c>
    </row>
    <row r="14" spans="1:19" ht="24" customHeight="1">
      <c r="A14" s="309"/>
      <c r="B14" s="399"/>
      <c r="C14" s="320"/>
      <c r="D14" s="320"/>
      <c r="E14" s="320"/>
      <c r="F14" s="320"/>
      <c r="G14" s="320"/>
      <c r="H14" s="720" t="s">
        <v>143</v>
      </c>
      <c r="I14" s="724"/>
      <c r="J14" s="724"/>
      <c r="K14" s="721"/>
      <c r="L14" s="307"/>
      <c r="M14" s="308"/>
    </row>
    <row r="15" spans="1:19" ht="24" customHeight="1">
      <c r="A15" s="309"/>
      <c r="B15" s="399"/>
      <c r="C15" s="320"/>
      <c r="D15" s="320"/>
      <c r="E15" s="320"/>
      <c r="F15" s="320"/>
      <c r="G15" s="320"/>
      <c r="H15" s="720" t="s">
        <v>144</v>
      </c>
      <c r="I15" s="724"/>
      <c r="J15" s="724"/>
      <c r="K15" s="721"/>
      <c r="L15" s="307"/>
      <c r="M15" s="308"/>
    </row>
    <row r="16" spans="1:19" ht="24" customHeight="1">
      <c r="A16" s="309"/>
      <c r="B16" s="399"/>
      <c r="C16" s="320"/>
      <c r="D16" s="320"/>
      <c r="E16" s="320"/>
      <c r="F16" s="320"/>
      <c r="G16" s="320"/>
      <c r="H16" s="720" t="s">
        <v>170</v>
      </c>
      <c r="I16" s="724"/>
      <c r="J16" s="724"/>
      <c r="K16" s="721"/>
      <c r="L16" s="307"/>
      <c r="M16" s="308"/>
    </row>
    <row r="17" spans="1:32" ht="24" customHeight="1">
      <c r="A17" s="309"/>
      <c r="B17" s="399"/>
      <c r="C17" s="320"/>
      <c r="D17" s="320"/>
      <c r="E17" s="320"/>
      <c r="F17" s="320"/>
      <c r="G17" s="320"/>
      <c r="I17" s="323" t="s">
        <v>54</v>
      </c>
      <c r="J17" s="324" t="s">
        <v>11</v>
      </c>
      <c r="K17" s="532" t="s">
        <v>51</v>
      </c>
      <c r="L17" s="307"/>
      <c r="M17" s="308"/>
      <c r="O17" s="356"/>
      <c r="P17" s="356"/>
      <c r="Q17" s="356"/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  <c r="AD17" s="356"/>
      <c r="AE17" s="356"/>
      <c r="AF17" s="356"/>
    </row>
    <row r="18" spans="1:32" ht="24" customHeight="1">
      <c r="A18" s="325"/>
      <c r="B18" s="402"/>
      <c r="C18" s="310"/>
      <c r="D18" s="310"/>
      <c r="E18" s="310"/>
      <c r="F18" s="310"/>
      <c r="G18" s="310"/>
      <c r="H18" s="705" t="s">
        <v>212</v>
      </c>
      <c r="I18" s="706"/>
      <c r="J18" s="706"/>
      <c r="K18" s="707"/>
      <c r="L18" s="326"/>
      <c r="M18" s="299"/>
      <c r="O18" s="356"/>
      <c r="P18" s="356"/>
      <c r="Q18" s="356"/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  <c r="AD18" s="356"/>
      <c r="AE18" s="356"/>
      <c r="AF18" s="356"/>
    </row>
    <row r="19" spans="1:32" ht="24" customHeight="1">
      <c r="A19" s="302" t="s">
        <v>53</v>
      </c>
      <c r="B19" s="403">
        <v>12</v>
      </c>
      <c r="C19" s="303">
        <v>0.6</v>
      </c>
      <c r="D19" s="303">
        <v>0.7</v>
      </c>
      <c r="E19" s="303">
        <v>0.8</v>
      </c>
      <c r="F19" s="303">
        <v>0.9</v>
      </c>
      <c r="G19" s="303">
        <v>1</v>
      </c>
      <c r="H19" s="722" t="s">
        <v>171</v>
      </c>
      <c r="I19" s="722"/>
      <c r="J19" s="722"/>
      <c r="K19" s="723"/>
      <c r="L19" s="304">
        <f>1+Q20</f>
        <v>1.6950000000000003</v>
      </c>
      <c r="M19" s="305">
        <f>IF(L19=0,"-",ROUND(L19*B19/B$83,4))</f>
        <v>0.28249999999999997</v>
      </c>
      <c r="N19" s="429" t="s">
        <v>214</v>
      </c>
      <c r="O19" s="356"/>
      <c r="P19" s="356">
        <v>10</v>
      </c>
      <c r="Q19" s="356">
        <v>1</v>
      </c>
      <c r="R19" s="356"/>
      <c r="S19" s="356"/>
      <c r="T19" s="356"/>
      <c r="U19" s="709" t="s">
        <v>324</v>
      </c>
      <c r="V19" s="709"/>
      <c r="W19" s="530" t="s">
        <v>240</v>
      </c>
      <c r="X19" s="322"/>
      <c r="Y19" s="322"/>
      <c r="Z19" s="322"/>
      <c r="AA19" s="322"/>
      <c r="AB19" s="322"/>
      <c r="AC19" s="322"/>
      <c r="AD19" s="356"/>
      <c r="AE19" s="356"/>
      <c r="AF19" s="356"/>
    </row>
    <row r="20" spans="1:32" ht="24" customHeight="1">
      <c r="A20" s="309" t="s">
        <v>21</v>
      </c>
      <c r="B20" s="352"/>
      <c r="C20" s="320"/>
      <c r="D20" s="320"/>
      <c r="E20" s="320"/>
      <c r="F20" s="320"/>
      <c r="G20" s="320"/>
      <c r="H20" s="720" t="s">
        <v>83</v>
      </c>
      <c r="I20" s="724"/>
      <c r="J20" s="724"/>
      <c r="K20" s="721"/>
      <c r="L20" s="307"/>
      <c r="M20" s="308"/>
      <c r="N20" s="452" t="s">
        <v>199</v>
      </c>
      <c r="O20" s="356"/>
      <c r="P20" s="572">
        <f>W20-60</f>
        <v>6.9500000000000028</v>
      </c>
      <c r="Q20" s="356">
        <f>Q19*P20/P19</f>
        <v>0.69500000000000028</v>
      </c>
      <c r="R20" s="573" t="s">
        <v>345</v>
      </c>
      <c r="S20" s="530"/>
      <c r="T20" s="530"/>
      <c r="U20" s="738">
        <v>107120000</v>
      </c>
      <c r="V20" s="739"/>
      <c r="W20" s="574">
        <v>66.95</v>
      </c>
      <c r="X20" s="575" t="s">
        <v>51</v>
      </c>
      <c r="Y20" s="322"/>
      <c r="Z20" s="502"/>
      <c r="AA20" s="503"/>
      <c r="AB20" s="445"/>
      <c r="AC20" s="322"/>
      <c r="AD20" s="356"/>
      <c r="AE20" s="356"/>
      <c r="AF20" s="356"/>
    </row>
    <row r="21" spans="1:32" ht="24" customHeight="1">
      <c r="A21" s="309"/>
      <c r="B21" s="352"/>
      <c r="C21" s="320"/>
      <c r="D21" s="320"/>
      <c r="E21" s="320"/>
      <c r="F21" s="320"/>
      <c r="G21" s="320"/>
      <c r="H21" s="720" t="s">
        <v>172</v>
      </c>
      <c r="I21" s="724"/>
      <c r="J21" s="724"/>
      <c r="K21" s="721"/>
      <c r="L21" s="307"/>
      <c r="M21" s="308"/>
      <c r="N21" s="487" t="s">
        <v>237</v>
      </c>
      <c r="O21" s="356"/>
      <c r="P21" s="356"/>
      <c r="Q21" s="356"/>
      <c r="R21" s="356"/>
      <c r="S21" s="356"/>
      <c r="T21" s="356"/>
      <c r="U21" s="356"/>
      <c r="V21" s="357"/>
      <c r="W21" s="356"/>
      <c r="X21" s="322"/>
      <c r="Y21" s="322"/>
      <c r="Z21" s="502"/>
      <c r="AA21" s="503"/>
      <c r="AB21" s="445"/>
      <c r="AC21" s="322"/>
      <c r="AD21" s="356"/>
      <c r="AE21" s="356"/>
      <c r="AF21" s="356"/>
    </row>
    <row r="22" spans="1:32" ht="24" customHeight="1">
      <c r="A22" s="309"/>
      <c r="B22" s="352"/>
      <c r="C22" s="320"/>
      <c r="D22" s="320"/>
      <c r="E22" s="320"/>
      <c r="F22" s="320"/>
      <c r="G22" s="320"/>
      <c r="H22" s="380" t="s">
        <v>173</v>
      </c>
      <c r="I22" s="323"/>
      <c r="J22" s="328"/>
      <c r="K22" s="532"/>
      <c r="L22" s="307"/>
      <c r="M22" s="308"/>
      <c r="O22" s="356"/>
      <c r="P22" s="356"/>
      <c r="Q22" s="356"/>
      <c r="R22" s="356"/>
      <c r="S22" s="356"/>
      <c r="T22" s="356"/>
      <c r="U22" s="356"/>
      <c r="V22" s="357"/>
      <c r="W22" s="356"/>
      <c r="X22" s="322"/>
      <c r="Y22" s="322"/>
      <c r="Z22" s="502"/>
      <c r="AA22" s="503"/>
      <c r="AB22" s="445"/>
      <c r="AC22" s="322"/>
      <c r="AD22" s="356"/>
      <c r="AE22" s="356"/>
      <c r="AF22" s="356"/>
    </row>
    <row r="23" spans="1:32" ht="24" customHeight="1">
      <c r="A23" s="309"/>
      <c r="B23" s="352"/>
      <c r="C23" s="320"/>
      <c r="D23" s="320"/>
      <c r="E23" s="320"/>
      <c r="F23" s="320"/>
      <c r="G23" s="320"/>
      <c r="H23" s="380"/>
      <c r="I23" s="323"/>
      <c r="J23" s="328"/>
      <c r="K23" s="532"/>
      <c r="L23" s="307"/>
      <c r="M23" s="308"/>
      <c r="X23" s="445"/>
      <c r="Y23" s="445"/>
      <c r="Z23" s="445"/>
      <c r="AA23" s="445"/>
      <c r="AB23" s="445"/>
      <c r="AC23" s="445"/>
    </row>
    <row r="24" spans="1:32" ht="23.25">
      <c r="A24" s="309"/>
      <c r="B24" s="352"/>
      <c r="C24" s="320"/>
      <c r="D24" s="320"/>
      <c r="E24" s="320"/>
      <c r="F24" s="320"/>
      <c r="G24" s="320"/>
      <c r="H24" s="380"/>
      <c r="I24" s="323" t="s">
        <v>174</v>
      </c>
      <c r="J24" s="576">
        <v>61.14</v>
      </c>
      <c r="K24" s="532" t="s">
        <v>51</v>
      </c>
      <c r="L24" s="307"/>
      <c r="M24" s="308"/>
      <c r="X24" s="445"/>
      <c r="Y24" s="445"/>
      <c r="Z24" s="445"/>
      <c r="AA24" s="445"/>
      <c r="AB24" s="445"/>
      <c r="AC24" s="445"/>
    </row>
    <row r="25" spans="1:32" ht="23.25">
      <c r="A25" s="325"/>
      <c r="B25" s="359"/>
      <c r="C25" s="310"/>
      <c r="D25" s="310"/>
      <c r="E25" s="310"/>
      <c r="F25" s="310"/>
      <c r="G25" s="310"/>
      <c r="H25" s="329"/>
      <c r="I25" s="330"/>
      <c r="J25" s="404"/>
      <c r="K25" s="331"/>
      <c r="L25" s="326"/>
      <c r="M25" s="299"/>
      <c r="U25" s="530" t="s">
        <v>229</v>
      </c>
      <c r="V25" s="530" t="s">
        <v>330</v>
      </c>
      <c r="X25" s="445"/>
      <c r="Y25" s="445"/>
      <c r="Z25" s="445"/>
      <c r="AA25" s="445"/>
      <c r="AB25" s="445"/>
      <c r="AC25" s="445"/>
    </row>
    <row r="26" spans="1:32" ht="25.5">
      <c r="A26" s="302" t="s">
        <v>179</v>
      </c>
      <c r="B26" s="403">
        <v>4</v>
      </c>
      <c r="C26" s="332">
        <v>0.5</v>
      </c>
      <c r="D26" s="332">
        <v>0.75</v>
      </c>
      <c r="E26" s="332">
        <v>1</v>
      </c>
      <c r="F26" s="332">
        <v>1</v>
      </c>
      <c r="G26" s="332">
        <v>1</v>
      </c>
      <c r="H26" s="726" t="s">
        <v>57</v>
      </c>
      <c r="I26" s="722"/>
      <c r="J26" s="722"/>
      <c r="K26" s="723"/>
      <c r="L26" s="304">
        <v>1.0448</v>
      </c>
      <c r="M26" s="305">
        <f>IF(L26=0,"-",ROUND(L26*B26/B$83,4))</f>
        <v>5.8000000000000003E-2</v>
      </c>
      <c r="N26" s="429" t="s">
        <v>214</v>
      </c>
      <c r="O26" s="292" t="s">
        <v>346</v>
      </c>
      <c r="U26" s="577">
        <v>600000</v>
      </c>
      <c r="V26" s="577">
        <v>260396.85</v>
      </c>
      <c r="W26" s="292" t="s">
        <v>187</v>
      </c>
      <c r="X26" s="501"/>
      <c r="Y26" s="467"/>
      <c r="Z26" s="502"/>
      <c r="AA26" s="503"/>
      <c r="AB26" s="445"/>
      <c r="AC26" s="445"/>
      <c r="AD26" s="451"/>
    </row>
    <row r="27" spans="1:32" ht="25.5">
      <c r="A27" s="309" t="s">
        <v>23</v>
      </c>
      <c r="B27" s="352"/>
      <c r="C27" s="320"/>
      <c r="D27" s="320"/>
      <c r="E27" s="320"/>
      <c r="F27" s="335" t="s">
        <v>70</v>
      </c>
      <c r="G27" s="335" t="s">
        <v>70</v>
      </c>
      <c r="H27" s="531" t="s">
        <v>58</v>
      </c>
      <c r="I27" s="535"/>
      <c r="J27" s="535"/>
      <c r="K27" s="532"/>
      <c r="L27" s="307"/>
      <c r="M27" s="308"/>
      <c r="N27" s="452" t="s">
        <v>199</v>
      </c>
      <c r="O27" s="292" t="s">
        <v>347</v>
      </c>
      <c r="U27" s="577">
        <v>600000</v>
      </c>
      <c r="V27" s="577">
        <v>454448.05</v>
      </c>
      <c r="W27" s="292" t="s">
        <v>187</v>
      </c>
      <c r="X27" s="501"/>
      <c r="Y27" s="467"/>
      <c r="Z27" s="502"/>
      <c r="AA27" s="503"/>
      <c r="AB27" s="445"/>
      <c r="AC27" s="445"/>
      <c r="AD27" s="451"/>
    </row>
    <row r="28" spans="1:32" ht="25.5">
      <c r="A28" s="309" t="s">
        <v>24</v>
      </c>
      <c r="B28" s="352"/>
      <c r="C28" s="320"/>
      <c r="D28" s="320"/>
      <c r="E28" s="320"/>
      <c r="F28" s="335" t="s">
        <v>137</v>
      </c>
      <c r="G28" s="335" t="s">
        <v>138</v>
      </c>
      <c r="H28" s="531" t="s">
        <v>147</v>
      </c>
      <c r="I28" s="535"/>
      <c r="J28" s="535"/>
      <c r="K28" s="532"/>
      <c r="L28" s="307"/>
      <c r="M28" s="308"/>
      <c r="N28" s="487" t="s">
        <v>237</v>
      </c>
      <c r="O28" s="292" t="s">
        <v>348</v>
      </c>
      <c r="U28" s="577">
        <v>600000</v>
      </c>
      <c r="V28" s="577">
        <v>205275</v>
      </c>
      <c r="W28" s="292" t="s">
        <v>187</v>
      </c>
      <c r="X28" s="501"/>
      <c r="Y28" s="467"/>
      <c r="Z28" s="502"/>
      <c r="AA28" s="503"/>
      <c r="AB28" s="445"/>
      <c r="AC28" s="445"/>
    </row>
    <row r="29" spans="1:32" ht="23.25">
      <c r="A29" s="309"/>
      <c r="B29" s="352"/>
      <c r="C29" s="320"/>
      <c r="D29" s="320"/>
      <c r="E29" s="320"/>
      <c r="F29" s="320"/>
      <c r="G29" s="320"/>
      <c r="H29" s="531" t="s">
        <v>180</v>
      </c>
      <c r="I29" s="535"/>
      <c r="J29" s="535"/>
      <c r="K29" s="532"/>
      <c r="L29" s="307"/>
      <c r="M29" s="308"/>
      <c r="T29" s="292" t="s">
        <v>349</v>
      </c>
      <c r="U29" s="577">
        <f>U28+U27+U26</f>
        <v>1800000</v>
      </c>
      <c r="V29" s="577">
        <f>V28+V27+V26</f>
        <v>920119.9</v>
      </c>
      <c r="W29" s="292" t="s">
        <v>187</v>
      </c>
    </row>
    <row r="30" spans="1:32" ht="23.25">
      <c r="A30" s="309"/>
      <c r="B30" s="352"/>
      <c r="C30" s="320"/>
      <c r="D30" s="320"/>
      <c r="E30" s="320"/>
      <c r="F30" s="320"/>
      <c r="G30" s="311"/>
      <c r="H30" s="531"/>
      <c r="I30" s="323" t="s">
        <v>56</v>
      </c>
      <c r="J30" s="324">
        <f>U30</f>
        <v>51.117772222222222</v>
      </c>
      <c r="K30" s="532" t="s">
        <v>51</v>
      </c>
      <c r="L30" s="307"/>
      <c r="M30" s="308"/>
      <c r="O30" s="292">
        <v>25</v>
      </c>
      <c r="P30" s="292">
        <v>1</v>
      </c>
      <c r="U30" s="292">
        <f>V29*100/U29</f>
        <v>51.117772222222222</v>
      </c>
      <c r="V30" s="292" t="s">
        <v>51</v>
      </c>
    </row>
    <row r="31" spans="1:32" ht="23.25">
      <c r="A31" s="309"/>
      <c r="B31" s="352"/>
      <c r="C31" s="320"/>
      <c r="D31" s="320"/>
      <c r="E31" s="320"/>
      <c r="F31" s="320"/>
      <c r="G31" s="320"/>
      <c r="H31" s="333"/>
      <c r="I31" s="306"/>
      <c r="J31" s="306"/>
      <c r="K31" s="312"/>
      <c r="L31" s="307"/>
      <c r="M31" s="308"/>
      <c r="O31" s="292">
        <v>1.1200000000000001</v>
      </c>
      <c r="P31" s="292">
        <f>P30*O31/O30</f>
        <v>4.4800000000000006E-2</v>
      </c>
    </row>
    <row r="32" spans="1:32" ht="23.25">
      <c r="A32" s="302" t="s">
        <v>183</v>
      </c>
      <c r="B32" s="403">
        <v>4</v>
      </c>
      <c r="C32" s="332">
        <v>0.8</v>
      </c>
      <c r="D32" s="332">
        <v>0.85</v>
      </c>
      <c r="E32" s="332">
        <v>0.9</v>
      </c>
      <c r="F32" s="332">
        <v>0.95</v>
      </c>
      <c r="G32" s="332">
        <v>1</v>
      </c>
      <c r="H32" s="386" t="s">
        <v>150</v>
      </c>
      <c r="I32" s="387"/>
      <c r="J32" s="387"/>
      <c r="K32" s="388"/>
      <c r="L32" s="304">
        <v>5</v>
      </c>
      <c r="M32" s="305">
        <f>IF(L32=0,"-",ROUND(L32*B32/B$83,4))</f>
        <v>0.27779999999999999</v>
      </c>
      <c r="N32" s="429" t="s">
        <v>214</v>
      </c>
    </row>
    <row r="33" spans="1:14" ht="23.25">
      <c r="A33" s="309" t="s">
        <v>28</v>
      </c>
      <c r="B33" s="352"/>
      <c r="C33" s="320"/>
      <c r="D33" s="320"/>
      <c r="E33" s="320"/>
      <c r="F33" s="320"/>
      <c r="G33" s="320"/>
      <c r="H33" s="531" t="s">
        <v>154</v>
      </c>
      <c r="I33" s="535"/>
      <c r="J33" s="535"/>
      <c r="K33" s="532"/>
      <c r="L33" s="307"/>
      <c r="M33" s="308"/>
      <c r="N33" s="452" t="s">
        <v>350</v>
      </c>
    </row>
    <row r="34" spans="1:14" ht="23.25">
      <c r="A34" s="309" t="s">
        <v>60</v>
      </c>
      <c r="B34" s="352"/>
      <c r="C34" s="320"/>
      <c r="D34" s="320"/>
      <c r="E34" s="320"/>
      <c r="F34" s="320"/>
      <c r="G34" s="320"/>
      <c r="H34" s="531" t="s">
        <v>64</v>
      </c>
      <c r="I34" s="535"/>
      <c r="J34" s="535"/>
      <c r="K34" s="532"/>
      <c r="L34" s="307"/>
      <c r="M34" s="308"/>
      <c r="N34" s="487" t="s">
        <v>237</v>
      </c>
    </row>
    <row r="35" spans="1:14" ht="23.25">
      <c r="A35" s="309"/>
      <c r="B35" s="352"/>
      <c r="C35" s="320"/>
      <c r="D35" s="320"/>
      <c r="E35" s="320"/>
      <c r="F35" s="320"/>
      <c r="G35" s="320"/>
      <c r="H35" s="380" t="s">
        <v>180</v>
      </c>
      <c r="I35" s="323"/>
      <c r="J35" s="322" t="s">
        <v>351</v>
      </c>
      <c r="K35" s="382"/>
      <c r="L35" s="307"/>
      <c r="M35" s="308"/>
    </row>
    <row r="36" spans="1:14" ht="23.25">
      <c r="A36" s="309"/>
      <c r="B36" s="352"/>
      <c r="C36" s="320"/>
      <c r="D36" s="320"/>
      <c r="E36" s="320"/>
      <c r="F36" s="320"/>
      <c r="G36" s="320"/>
      <c r="H36" s="380"/>
      <c r="I36" s="323" t="s">
        <v>66</v>
      </c>
      <c r="J36" s="334">
        <v>3</v>
      </c>
      <c r="K36" s="382" t="s">
        <v>61</v>
      </c>
      <c r="L36" s="307"/>
      <c r="M36" s="308"/>
    </row>
    <row r="37" spans="1:14" ht="23.25">
      <c r="A37" s="309"/>
      <c r="B37" s="352"/>
      <c r="C37" s="320"/>
      <c r="D37" s="320"/>
      <c r="E37" s="320"/>
      <c r="F37" s="320"/>
      <c r="G37" s="320"/>
      <c r="H37" s="380"/>
      <c r="I37" s="323" t="s">
        <v>67</v>
      </c>
      <c r="J37" s="334">
        <v>3</v>
      </c>
      <c r="K37" s="382" t="s">
        <v>61</v>
      </c>
      <c r="L37" s="307"/>
      <c r="M37" s="308"/>
    </row>
    <row r="38" spans="1:14" ht="23.25">
      <c r="A38" s="309"/>
      <c r="B38" s="352"/>
      <c r="C38" s="320"/>
      <c r="D38" s="320"/>
      <c r="E38" s="320"/>
      <c r="F38" s="320"/>
      <c r="G38" s="320"/>
      <c r="H38" s="531"/>
      <c r="I38" s="323" t="s">
        <v>81</v>
      </c>
      <c r="J38" s="334">
        <f>J37*100/J36</f>
        <v>100</v>
      </c>
      <c r="K38" s="532" t="s">
        <v>51</v>
      </c>
      <c r="L38" s="307"/>
      <c r="M38" s="308"/>
    </row>
    <row r="39" spans="1:14" ht="23.25">
      <c r="A39" s="325"/>
      <c r="B39" s="359"/>
      <c r="C39" s="310"/>
      <c r="D39" s="310"/>
      <c r="E39" s="310"/>
      <c r="F39" s="310"/>
      <c r="G39" s="310"/>
      <c r="H39" s="527"/>
      <c r="I39" s="427"/>
      <c r="J39" s="427"/>
      <c r="K39" s="428"/>
      <c r="L39" s="326"/>
      <c r="M39" s="299"/>
    </row>
    <row r="40" spans="1:14" ht="23.25">
      <c r="A40" s="302" t="s">
        <v>184</v>
      </c>
      <c r="B40" s="403">
        <v>4</v>
      </c>
      <c r="C40" s="332">
        <v>0.5</v>
      </c>
      <c r="D40" s="332">
        <v>0.75</v>
      </c>
      <c r="E40" s="332">
        <v>1</v>
      </c>
      <c r="F40" s="332">
        <v>1</v>
      </c>
      <c r="G40" s="332">
        <v>1</v>
      </c>
      <c r="H40" s="536" t="s">
        <v>152</v>
      </c>
      <c r="I40" s="533"/>
      <c r="J40" s="533"/>
      <c r="K40" s="534"/>
      <c r="L40" s="304">
        <v>1</v>
      </c>
      <c r="M40" s="305">
        <f>IF(L40=0,"-",ROUND(L40*B40/B$83,4))</f>
        <v>5.5599999999999997E-2</v>
      </c>
      <c r="N40" s="429" t="s">
        <v>332</v>
      </c>
    </row>
    <row r="41" spans="1:14" ht="23.25">
      <c r="A41" s="309" t="s">
        <v>151</v>
      </c>
      <c r="B41" s="406"/>
      <c r="C41" s="335"/>
      <c r="D41" s="335"/>
      <c r="E41" s="335"/>
      <c r="F41" s="335" t="s">
        <v>70</v>
      </c>
      <c r="G41" s="335" t="s">
        <v>70</v>
      </c>
      <c r="H41" s="535" t="s">
        <v>153</v>
      </c>
      <c r="I41" s="535"/>
      <c r="J41" s="535"/>
      <c r="K41" s="532"/>
      <c r="L41" s="307"/>
      <c r="M41" s="308"/>
      <c r="N41" s="487" t="s">
        <v>237</v>
      </c>
    </row>
    <row r="42" spans="1:14" ht="23.25">
      <c r="A42" s="309"/>
      <c r="B42" s="406"/>
      <c r="C42" s="335"/>
      <c r="D42" s="335"/>
      <c r="E42" s="335"/>
      <c r="F42" s="335" t="s">
        <v>137</v>
      </c>
      <c r="G42" s="335" t="s">
        <v>138</v>
      </c>
      <c r="H42" s="535" t="s">
        <v>180</v>
      </c>
      <c r="I42" s="535"/>
      <c r="J42" s="535"/>
      <c r="K42" s="532"/>
      <c r="L42" s="307"/>
      <c r="M42" s="308"/>
    </row>
    <row r="43" spans="1:14" ht="23.25">
      <c r="A43" s="309"/>
      <c r="B43" s="406"/>
      <c r="C43" s="336"/>
      <c r="D43" s="336"/>
      <c r="E43" s="336"/>
      <c r="F43" s="336"/>
      <c r="G43" s="390"/>
      <c r="H43" s="531"/>
      <c r="I43" s="323" t="s">
        <v>56</v>
      </c>
      <c r="J43" s="324">
        <v>50</v>
      </c>
      <c r="K43" s="532" t="s">
        <v>51</v>
      </c>
      <c r="L43" s="307"/>
      <c r="M43" s="308"/>
    </row>
    <row r="44" spans="1:14" ht="23.25">
      <c r="A44" s="325"/>
      <c r="B44" s="359"/>
      <c r="C44" s="310"/>
      <c r="D44" s="310"/>
      <c r="E44" s="310"/>
      <c r="F44" s="310"/>
      <c r="G44" s="310"/>
      <c r="H44" s="527"/>
      <c r="I44" s="528"/>
      <c r="J44" s="528"/>
      <c r="K44" s="529"/>
      <c r="L44" s="326"/>
      <c r="M44" s="299"/>
    </row>
    <row r="45" spans="1:14" ht="23.25">
      <c r="A45" s="302" t="s">
        <v>185</v>
      </c>
      <c r="B45" s="403">
        <v>12</v>
      </c>
      <c r="C45" s="332">
        <v>0.78</v>
      </c>
      <c r="D45" s="332">
        <v>0.81</v>
      </c>
      <c r="E45" s="332">
        <v>0.84</v>
      </c>
      <c r="F45" s="332">
        <v>0.87</v>
      </c>
      <c r="G45" s="332">
        <v>0.9</v>
      </c>
      <c r="H45" s="536" t="s">
        <v>186</v>
      </c>
      <c r="I45" s="533"/>
      <c r="J45" s="533"/>
      <c r="K45" s="534"/>
      <c r="L45" s="304">
        <v>1</v>
      </c>
      <c r="M45" s="305">
        <f>IF(L45=0,"-",ROUND(L45*B45/B$83,4))</f>
        <v>0.16669999999999999</v>
      </c>
      <c r="N45" s="429" t="s">
        <v>199</v>
      </c>
    </row>
    <row r="46" spans="1:14" ht="23.25">
      <c r="A46" s="309" t="s">
        <v>85</v>
      </c>
      <c r="B46" s="352"/>
      <c r="C46" s="320"/>
      <c r="D46" s="320"/>
      <c r="E46" s="320"/>
      <c r="F46" s="320"/>
      <c r="G46" s="320"/>
      <c r="H46" s="531" t="s">
        <v>196</v>
      </c>
      <c r="I46" s="535"/>
      <c r="J46" s="535"/>
      <c r="K46" s="532"/>
      <c r="L46" s="307"/>
      <c r="M46" s="308"/>
      <c r="N46" s="487" t="s">
        <v>237</v>
      </c>
    </row>
    <row r="47" spans="1:14" ht="23.25">
      <c r="A47" s="309"/>
      <c r="B47" s="352"/>
      <c r="C47" s="320"/>
      <c r="D47" s="320"/>
      <c r="E47" s="320"/>
      <c r="F47" s="320"/>
      <c r="G47" s="320"/>
      <c r="H47" s="327"/>
      <c r="I47" s="327" t="s">
        <v>87</v>
      </c>
      <c r="J47" s="433">
        <v>126730000</v>
      </c>
      <c r="K47" s="532" t="s">
        <v>187</v>
      </c>
      <c r="L47" s="307"/>
      <c r="M47" s="308"/>
    </row>
    <row r="48" spans="1:14" ht="23.25">
      <c r="A48" s="309"/>
      <c r="B48" s="352"/>
      <c r="C48" s="320"/>
      <c r="D48" s="320"/>
      <c r="E48" s="320"/>
      <c r="F48" s="320"/>
      <c r="G48" s="320"/>
      <c r="H48" s="327"/>
      <c r="I48" s="323" t="s">
        <v>188</v>
      </c>
      <c r="J48" s="434">
        <v>74580000</v>
      </c>
      <c r="K48" s="532" t="s">
        <v>187</v>
      </c>
      <c r="L48" s="307"/>
      <c r="M48" s="308"/>
    </row>
    <row r="49" spans="1:17" ht="23.25">
      <c r="A49" s="309"/>
      <c r="B49" s="352"/>
      <c r="C49" s="320"/>
      <c r="D49" s="320"/>
      <c r="E49" s="320"/>
      <c r="F49" s="320"/>
      <c r="G49" s="320"/>
      <c r="H49" s="327"/>
      <c r="I49" s="323" t="s">
        <v>189</v>
      </c>
      <c r="J49" s="430">
        <f>J48*100/J47</f>
        <v>58.849522607117493</v>
      </c>
      <c r="K49" s="532" t="s">
        <v>51</v>
      </c>
      <c r="L49" s="307"/>
      <c r="M49" s="308"/>
    </row>
    <row r="50" spans="1:17" ht="23.25">
      <c r="A50" s="325"/>
      <c r="B50" s="359"/>
      <c r="C50" s="310"/>
      <c r="D50" s="310"/>
      <c r="E50" s="310"/>
      <c r="F50" s="310"/>
      <c r="G50" s="310"/>
      <c r="H50" s="337"/>
      <c r="I50" s="427"/>
      <c r="J50" s="338"/>
      <c r="K50" s="428"/>
      <c r="L50" s="326"/>
      <c r="M50" s="299"/>
    </row>
    <row r="51" spans="1:17" ht="23.25">
      <c r="A51" s="339" t="s">
        <v>190</v>
      </c>
      <c r="B51" s="407">
        <v>4</v>
      </c>
      <c r="C51" s="340">
        <v>0.65</v>
      </c>
      <c r="D51" s="340">
        <v>0.7</v>
      </c>
      <c r="E51" s="340">
        <v>0.75</v>
      </c>
      <c r="F51" s="340">
        <v>0.8</v>
      </c>
      <c r="G51" s="340">
        <v>0.85</v>
      </c>
      <c r="H51" s="536" t="s">
        <v>156</v>
      </c>
      <c r="I51" s="533"/>
      <c r="J51" s="533"/>
      <c r="K51" s="534"/>
      <c r="L51" s="304">
        <v>1</v>
      </c>
      <c r="M51" s="305">
        <f>IF(L51=0,"-",ROUND(L51*B51/B$83,4))</f>
        <v>5.5599999999999997E-2</v>
      </c>
    </row>
    <row r="52" spans="1:17" ht="23.25">
      <c r="A52" s="309" t="s">
        <v>145</v>
      </c>
      <c r="B52" s="352"/>
      <c r="C52" s="320"/>
      <c r="D52" s="320"/>
      <c r="E52" s="320"/>
      <c r="F52" s="320"/>
      <c r="G52" s="320"/>
      <c r="H52" s="531" t="s">
        <v>104</v>
      </c>
      <c r="I52" s="535"/>
      <c r="J52" s="535"/>
      <c r="K52" s="532"/>
      <c r="L52" s="307"/>
      <c r="M52" s="308"/>
      <c r="N52" s="487" t="s">
        <v>237</v>
      </c>
    </row>
    <row r="53" spans="1:17" ht="23.25">
      <c r="A53" s="389" t="s">
        <v>155</v>
      </c>
      <c r="B53" s="352"/>
      <c r="C53" s="320"/>
      <c r="D53" s="320"/>
      <c r="E53" s="320"/>
      <c r="F53" s="320"/>
      <c r="G53" s="320"/>
      <c r="H53" s="531" t="s">
        <v>105</v>
      </c>
      <c r="I53" s="535"/>
      <c r="J53" s="535"/>
      <c r="K53" s="532"/>
      <c r="L53" s="307"/>
      <c r="M53" s="308"/>
    </row>
    <row r="54" spans="1:17" ht="23.25">
      <c r="A54" s="309"/>
      <c r="B54" s="352"/>
      <c r="C54" s="320"/>
      <c r="D54" s="320"/>
      <c r="E54" s="320"/>
      <c r="F54" s="320"/>
      <c r="G54" s="320"/>
      <c r="H54" s="341"/>
      <c r="I54" s="342" t="s">
        <v>113</v>
      </c>
      <c r="J54" s="343" t="s">
        <v>11</v>
      </c>
      <c r="K54" s="532" t="s">
        <v>51</v>
      </c>
      <c r="L54" s="307"/>
      <c r="M54" s="308"/>
    </row>
    <row r="55" spans="1:17" ht="23.25">
      <c r="A55" s="325"/>
      <c r="B55" s="359"/>
      <c r="C55" s="310"/>
      <c r="D55" s="310"/>
      <c r="E55" s="310"/>
      <c r="F55" s="310"/>
      <c r="G55" s="416"/>
      <c r="H55" s="705" t="s">
        <v>211</v>
      </c>
      <c r="I55" s="706"/>
      <c r="J55" s="706"/>
      <c r="K55" s="707"/>
      <c r="L55" s="326"/>
      <c r="M55" s="299"/>
    </row>
    <row r="56" spans="1:17" ht="23.25">
      <c r="A56" s="302" t="s">
        <v>106</v>
      </c>
      <c r="B56" s="407">
        <v>4</v>
      </c>
      <c r="C56" s="346" t="s">
        <v>29</v>
      </c>
      <c r="D56" s="346" t="s">
        <v>30</v>
      </c>
      <c r="E56" s="346" t="s">
        <v>31</v>
      </c>
      <c r="F56" s="346" t="s">
        <v>32</v>
      </c>
      <c r="G56" s="346" t="s">
        <v>33</v>
      </c>
      <c r="H56" s="536" t="s">
        <v>108</v>
      </c>
      <c r="I56" s="533"/>
      <c r="J56" s="533"/>
      <c r="K56" s="534"/>
      <c r="L56" s="304">
        <v>2</v>
      </c>
      <c r="M56" s="305">
        <f>IF(L56=0,"-",ROUND(L56*B56/B$83,4))</f>
        <v>0.1111</v>
      </c>
      <c r="N56" s="429" t="s">
        <v>332</v>
      </c>
    </row>
    <row r="57" spans="1:17" ht="23.25">
      <c r="A57" s="309" t="s">
        <v>107</v>
      </c>
      <c r="B57" s="352"/>
      <c r="C57" s="348">
        <v>1.5</v>
      </c>
      <c r="D57" s="348">
        <v>2</v>
      </c>
      <c r="E57" s="348">
        <v>2.5</v>
      </c>
      <c r="F57" s="348">
        <v>3</v>
      </c>
      <c r="G57" s="348">
        <v>5</v>
      </c>
      <c r="H57" s="531" t="s">
        <v>146</v>
      </c>
      <c r="I57" s="535"/>
      <c r="J57" s="535"/>
      <c r="K57" s="532"/>
      <c r="L57" s="307"/>
      <c r="M57" s="308"/>
      <c r="N57" s="487" t="s">
        <v>237</v>
      </c>
    </row>
    <row r="58" spans="1:17" ht="23.25">
      <c r="A58" s="309"/>
      <c r="B58" s="352"/>
      <c r="C58" s="344"/>
      <c r="D58" s="344"/>
      <c r="E58" s="344"/>
      <c r="F58" s="344"/>
      <c r="G58" s="344"/>
      <c r="H58" s="531" t="s">
        <v>110</v>
      </c>
      <c r="I58" s="535"/>
      <c r="J58" s="535"/>
      <c r="K58" s="532"/>
      <c r="L58" s="307"/>
      <c r="M58" s="308"/>
    </row>
    <row r="59" spans="1:17" ht="23.25">
      <c r="A59" s="309"/>
      <c r="B59" s="352"/>
      <c r="C59" s="344"/>
      <c r="D59" s="344"/>
      <c r="E59" s="344"/>
      <c r="F59" s="344"/>
      <c r="G59" s="344"/>
      <c r="H59" s="531" t="s">
        <v>191</v>
      </c>
      <c r="I59" s="535"/>
      <c r="J59" s="535"/>
      <c r="K59" s="532"/>
      <c r="L59" s="307"/>
      <c r="M59" s="308"/>
    </row>
    <row r="60" spans="1:17" ht="23.25">
      <c r="A60" s="309"/>
      <c r="B60" s="352"/>
      <c r="C60" s="344"/>
      <c r="D60" s="344"/>
      <c r="E60" s="344"/>
      <c r="F60" s="344"/>
      <c r="G60" s="344"/>
      <c r="H60" s="531"/>
      <c r="I60" s="323" t="s">
        <v>112</v>
      </c>
      <c r="J60" s="324">
        <v>2</v>
      </c>
      <c r="K60" s="382"/>
      <c r="L60" s="307"/>
      <c r="M60" s="308"/>
    </row>
    <row r="61" spans="1:17" ht="23.25">
      <c r="A61" s="325"/>
      <c r="B61" s="359"/>
      <c r="C61" s="310"/>
      <c r="D61" s="310"/>
      <c r="E61" s="310"/>
      <c r="F61" s="310"/>
      <c r="G61" s="310"/>
      <c r="H61" s="705"/>
      <c r="I61" s="706"/>
      <c r="J61" s="706"/>
      <c r="K61" s="707"/>
      <c r="L61" s="326"/>
      <c r="M61" s="299"/>
    </row>
    <row r="62" spans="1:17" ht="23.25">
      <c r="A62" s="350" t="s">
        <v>132</v>
      </c>
      <c r="B62" s="407">
        <v>4</v>
      </c>
      <c r="C62" s="340">
        <v>0.1</v>
      </c>
      <c r="D62" s="340">
        <v>0.3</v>
      </c>
      <c r="E62" s="340">
        <v>0.5</v>
      </c>
      <c r="F62" s="340">
        <v>0.7</v>
      </c>
      <c r="G62" s="340">
        <v>1</v>
      </c>
      <c r="H62" s="536" t="s">
        <v>123</v>
      </c>
      <c r="I62" s="533"/>
      <c r="J62" s="533"/>
      <c r="K62" s="534"/>
      <c r="L62" s="304">
        <v>5</v>
      </c>
      <c r="M62" s="305">
        <f>IF(L62=0,"-",ROUND(L62*B62/B$83,4))</f>
        <v>0.27779999999999999</v>
      </c>
      <c r="N62" s="429" t="s">
        <v>202</v>
      </c>
      <c r="O62" s="292">
        <v>30</v>
      </c>
      <c r="P62" s="292">
        <v>1</v>
      </c>
    </row>
    <row r="63" spans="1:17" ht="23.25">
      <c r="A63" s="351" t="s">
        <v>192</v>
      </c>
      <c r="B63" s="352"/>
      <c r="C63" s="320"/>
      <c r="D63" s="320"/>
      <c r="E63" s="320"/>
      <c r="F63" s="320"/>
      <c r="G63" s="311"/>
      <c r="H63" s="531" t="s">
        <v>124</v>
      </c>
      <c r="I63" s="322"/>
      <c r="J63" s="353"/>
      <c r="K63" s="354"/>
      <c r="L63" s="355"/>
      <c r="M63" s="308"/>
      <c r="N63" s="487" t="s">
        <v>237</v>
      </c>
      <c r="O63" s="292">
        <v>26</v>
      </c>
      <c r="Q63" s="292">
        <f>P62*O63/O62</f>
        <v>0.8666666666666667</v>
      </c>
    </row>
    <row r="64" spans="1:17" ht="23.25">
      <c r="A64" s="351"/>
      <c r="B64" s="352"/>
      <c r="C64" s="320"/>
      <c r="D64" s="320"/>
      <c r="E64" s="320"/>
      <c r="F64" s="320"/>
      <c r="G64" s="320"/>
      <c r="H64" s="535" t="s">
        <v>125</v>
      </c>
      <c r="I64" s="322"/>
      <c r="J64" s="353"/>
      <c r="K64" s="354"/>
      <c r="L64" s="355"/>
      <c r="M64" s="308"/>
    </row>
    <row r="65" spans="1:14" ht="23.25">
      <c r="A65" s="351"/>
      <c r="B65" s="352"/>
      <c r="C65" s="320"/>
      <c r="D65" s="320"/>
      <c r="E65" s="320"/>
      <c r="F65" s="320"/>
      <c r="G65" s="320"/>
      <c r="H65" s="531" t="s">
        <v>126</v>
      </c>
      <c r="I65" s="322"/>
      <c r="J65" s="353"/>
      <c r="K65" s="354"/>
      <c r="L65" s="355"/>
      <c r="M65" s="308"/>
    </row>
    <row r="66" spans="1:14" ht="23.25">
      <c r="A66" s="351"/>
      <c r="B66" s="352"/>
      <c r="C66" s="320"/>
      <c r="D66" s="320"/>
      <c r="E66" s="320"/>
      <c r="F66" s="320"/>
      <c r="G66" s="320"/>
      <c r="H66" s="531" t="s">
        <v>127</v>
      </c>
      <c r="I66" s="322"/>
      <c r="J66" s="353"/>
      <c r="K66" s="354"/>
      <c r="L66" s="355"/>
      <c r="M66" s="308"/>
    </row>
    <row r="67" spans="1:14" ht="23.25">
      <c r="A67" s="351"/>
      <c r="B67" s="352"/>
      <c r="C67" s="320"/>
      <c r="D67" s="320"/>
      <c r="E67" s="320"/>
      <c r="F67" s="320"/>
      <c r="G67" s="320"/>
      <c r="H67" s="531"/>
      <c r="I67" s="323" t="s">
        <v>114</v>
      </c>
      <c r="J67" s="408">
        <v>100</v>
      </c>
      <c r="K67" s="382" t="s">
        <v>51</v>
      </c>
      <c r="L67" s="355"/>
      <c r="M67" s="308"/>
    </row>
    <row r="68" spans="1:14" ht="23.25">
      <c r="A68" s="358"/>
      <c r="B68" s="359"/>
      <c r="C68" s="310"/>
      <c r="D68" s="310"/>
      <c r="E68" s="310"/>
      <c r="F68" s="310"/>
      <c r="G68" s="310"/>
      <c r="H68" s="330"/>
      <c r="I68" s="427"/>
      <c r="J68" s="427"/>
      <c r="K68" s="428"/>
      <c r="L68" s="360"/>
      <c r="M68" s="299"/>
    </row>
    <row r="69" spans="1:14" ht="23.25">
      <c r="A69" s="302" t="s">
        <v>115</v>
      </c>
      <c r="B69" s="407">
        <v>4</v>
      </c>
      <c r="C69" s="361">
        <v>0.8</v>
      </c>
      <c r="D69" s="361">
        <v>0.85</v>
      </c>
      <c r="E69" s="361">
        <v>0.9</v>
      </c>
      <c r="F69" s="361">
        <v>0.95</v>
      </c>
      <c r="G69" s="361">
        <v>1</v>
      </c>
      <c r="H69" s="536" t="s">
        <v>157</v>
      </c>
      <c r="I69" s="533"/>
      <c r="J69" s="533"/>
      <c r="K69" s="534"/>
      <c r="L69" s="304">
        <v>5</v>
      </c>
      <c r="M69" s="305">
        <f>IF(L69=0,"-",ROUND(L69*B69/B$83,4))</f>
        <v>0.27779999999999999</v>
      </c>
      <c r="N69" s="429" t="s">
        <v>352</v>
      </c>
    </row>
    <row r="70" spans="1:14" ht="23.25">
      <c r="A70" s="309" t="s">
        <v>116</v>
      </c>
      <c r="B70" s="352"/>
      <c r="C70" s="348"/>
      <c r="D70" s="348"/>
      <c r="E70" s="348"/>
      <c r="F70" s="348"/>
      <c r="G70" s="348"/>
      <c r="H70" s="531" t="s">
        <v>158</v>
      </c>
      <c r="I70" s="535"/>
      <c r="J70" s="535"/>
      <c r="K70" s="532"/>
      <c r="L70" s="362"/>
      <c r="M70" s="308"/>
      <c r="N70" s="487" t="s">
        <v>237</v>
      </c>
    </row>
    <row r="71" spans="1:14" ht="23.25">
      <c r="A71" s="309" t="s">
        <v>193</v>
      </c>
      <c r="B71" s="352"/>
      <c r="C71" s="320"/>
      <c r="D71" s="320"/>
      <c r="E71" s="320"/>
      <c r="F71" s="320"/>
      <c r="G71" s="320"/>
      <c r="H71" s="531" t="s">
        <v>197</v>
      </c>
      <c r="I71" s="535"/>
      <c r="J71" s="535"/>
      <c r="K71" s="532"/>
      <c r="L71" s="362"/>
      <c r="M71" s="308"/>
    </row>
    <row r="72" spans="1:14" ht="23.25">
      <c r="A72" s="309"/>
      <c r="B72" s="352"/>
      <c r="C72" s="320"/>
      <c r="D72" s="320"/>
      <c r="E72" s="320"/>
      <c r="F72" s="320"/>
      <c r="G72" s="320"/>
      <c r="H72" s="531" t="s">
        <v>120</v>
      </c>
      <c r="I72" s="535"/>
      <c r="J72" s="535"/>
      <c r="K72" s="532"/>
      <c r="L72" s="362"/>
      <c r="M72" s="308"/>
    </row>
    <row r="73" spans="1:14" ht="23.25">
      <c r="A73" s="309"/>
      <c r="B73" s="352"/>
      <c r="C73" s="320"/>
      <c r="D73" s="320"/>
      <c r="E73" s="320"/>
      <c r="F73" s="320"/>
      <c r="G73" s="320"/>
      <c r="H73" s="531" t="s">
        <v>194</v>
      </c>
      <c r="I73" s="535"/>
      <c r="J73" s="535"/>
      <c r="K73" s="532"/>
      <c r="L73" s="362"/>
      <c r="M73" s="308"/>
    </row>
    <row r="74" spans="1:14" ht="23.25">
      <c r="A74" s="309"/>
      <c r="B74" s="352"/>
      <c r="C74" s="320"/>
      <c r="D74" s="320"/>
      <c r="E74" s="320"/>
      <c r="F74" s="320"/>
      <c r="G74" s="344"/>
      <c r="H74" s="531" t="s">
        <v>195</v>
      </c>
      <c r="I74" s="345"/>
      <c r="J74" s="408">
        <v>100</v>
      </c>
      <c r="K74" s="414" t="s">
        <v>51</v>
      </c>
      <c r="L74" s="413"/>
      <c r="M74" s="308"/>
    </row>
    <row r="75" spans="1:14" ht="23.25">
      <c r="A75" s="358"/>
      <c r="B75" s="415"/>
      <c r="C75" s="412"/>
      <c r="D75" s="412"/>
      <c r="E75" s="412"/>
      <c r="F75" s="412"/>
      <c r="G75" s="329"/>
      <c r="H75" s="538"/>
      <c r="I75" s="418"/>
      <c r="J75" s="419"/>
      <c r="K75" s="417"/>
      <c r="L75" s="420"/>
      <c r="M75" s="308"/>
    </row>
    <row r="76" spans="1:14" ht="23.25">
      <c r="A76" s="351" t="s">
        <v>316</v>
      </c>
      <c r="B76" s="543">
        <v>4</v>
      </c>
      <c r="C76" s="544">
        <v>0.4</v>
      </c>
      <c r="D76" s="544">
        <v>0.45</v>
      </c>
      <c r="E76" s="544">
        <v>0.5</v>
      </c>
      <c r="F76" s="544">
        <v>0.55000000000000004</v>
      </c>
      <c r="G76" s="544">
        <v>0.6</v>
      </c>
      <c r="H76" s="531" t="s">
        <v>317</v>
      </c>
      <c r="I76" s="345"/>
      <c r="J76" s="545"/>
      <c r="K76" s="546"/>
      <c r="L76" s="413">
        <v>3</v>
      </c>
      <c r="M76" s="305">
        <f>IF(L76=0,"-",ROUND(L76*B76/B$83,4))</f>
        <v>0.16669999999999999</v>
      </c>
      <c r="N76" s="429" t="s">
        <v>332</v>
      </c>
    </row>
    <row r="77" spans="1:14" ht="23.25">
      <c r="A77" s="351" t="s">
        <v>318</v>
      </c>
      <c r="B77" s="406"/>
      <c r="C77" s="311"/>
      <c r="D77" s="311"/>
      <c r="E77" s="311"/>
      <c r="F77" s="311"/>
      <c r="G77" s="333"/>
      <c r="H77" s="531" t="s">
        <v>319</v>
      </c>
      <c r="I77" s="345"/>
      <c r="J77" s="545"/>
      <c r="K77" s="546"/>
      <c r="L77" s="413"/>
      <c r="M77" s="308"/>
      <c r="N77" s="487" t="s">
        <v>237</v>
      </c>
    </row>
    <row r="78" spans="1:14" ht="23.25">
      <c r="A78" s="351"/>
      <c r="B78" s="406"/>
      <c r="C78" s="311"/>
      <c r="D78" s="311"/>
      <c r="E78" s="311"/>
      <c r="F78" s="311"/>
      <c r="G78" s="333"/>
      <c r="H78" s="531"/>
      <c r="I78" s="345"/>
      <c r="J78" s="545"/>
      <c r="K78" s="546"/>
      <c r="L78" s="413"/>
      <c r="M78" s="308"/>
    </row>
    <row r="79" spans="1:14" ht="23.25">
      <c r="A79" s="351"/>
      <c r="B79" s="406"/>
      <c r="C79" s="311"/>
      <c r="D79" s="311"/>
      <c r="E79" s="311"/>
      <c r="F79" s="311"/>
      <c r="G79" s="333"/>
      <c r="H79" s="531"/>
      <c r="I79" s="345" t="s">
        <v>174</v>
      </c>
      <c r="J79" s="547">
        <v>50</v>
      </c>
      <c r="K79" s="414" t="s">
        <v>51</v>
      </c>
      <c r="L79" s="413"/>
      <c r="M79" s="308"/>
    </row>
    <row r="80" spans="1:14" ht="23.25">
      <c r="A80" s="351"/>
      <c r="B80" s="406"/>
      <c r="C80" s="311"/>
      <c r="D80" s="311"/>
      <c r="E80" s="311"/>
      <c r="F80" s="311"/>
      <c r="G80" s="333"/>
      <c r="H80" s="531"/>
      <c r="I80" s="345"/>
      <c r="J80" s="545"/>
      <c r="K80" s="546"/>
      <c r="L80" s="413"/>
      <c r="M80" s="308"/>
    </row>
    <row r="81" spans="1:13" ht="23.25">
      <c r="A81" s="351"/>
      <c r="B81" s="406"/>
      <c r="C81" s="311"/>
      <c r="D81" s="311"/>
      <c r="E81" s="311"/>
      <c r="F81" s="311"/>
      <c r="G81" s="333"/>
      <c r="H81" s="531"/>
      <c r="I81" s="345"/>
      <c r="J81" s="545"/>
      <c r="K81" s="546"/>
      <c r="L81" s="413"/>
      <c r="M81" s="308"/>
    </row>
    <row r="82" spans="1:13" ht="23.25">
      <c r="A82" s="358"/>
      <c r="B82" s="415"/>
      <c r="C82" s="412"/>
      <c r="D82" s="412"/>
      <c r="E82" s="412"/>
      <c r="F82" s="412"/>
      <c r="G82" s="416"/>
      <c r="H82" s="538"/>
      <c r="I82" s="345"/>
      <c r="J82" s="545"/>
      <c r="K82" s="417"/>
      <c r="L82" s="413"/>
      <c r="M82" s="308"/>
    </row>
    <row r="83" spans="1:13" ht="26.25">
      <c r="A83" s="363"/>
      <c r="B83" s="409">
        <f>ROUND(SUM(B6:B82),1)</f>
        <v>72</v>
      </c>
      <c r="C83" s="364"/>
      <c r="D83" s="364"/>
      <c r="E83" s="364"/>
      <c r="F83" s="364"/>
      <c r="G83" s="365"/>
      <c r="H83" s="364"/>
      <c r="I83" s="364"/>
      <c r="J83" s="364"/>
      <c r="K83" s="364"/>
      <c r="L83" s="366" t="s">
        <v>139</v>
      </c>
      <c r="M83" s="410">
        <f>(SUM(M12:M82))</f>
        <v>1.7852000000000001</v>
      </c>
    </row>
  </sheetData>
  <mergeCells count="24">
    <mergeCell ref="H6:I7"/>
    <mergeCell ref="J6:K6"/>
    <mergeCell ref="A1:M1"/>
    <mergeCell ref="A2:M2"/>
    <mergeCell ref="C4:G4"/>
    <mergeCell ref="H4:K5"/>
    <mergeCell ref="L4:L5"/>
    <mergeCell ref="U19:V19"/>
    <mergeCell ref="H20:K20"/>
    <mergeCell ref="U20:V20"/>
    <mergeCell ref="H9:I9"/>
    <mergeCell ref="H10:I10"/>
    <mergeCell ref="H11:I11"/>
    <mergeCell ref="H12:K12"/>
    <mergeCell ref="H13:K13"/>
    <mergeCell ref="H14:K14"/>
    <mergeCell ref="H21:K21"/>
    <mergeCell ref="H26:K26"/>
    <mergeCell ref="H55:K55"/>
    <mergeCell ref="H61:K61"/>
    <mergeCell ref="H15:K15"/>
    <mergeCell ref="H16:K16"/>
    <mergeCell ref="H18:K18"/>
    <mergeCell ref="H19:K19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25" max="12" man="1"/>
    <brk id="55" max="1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AH84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20" width="9.140625" style="292"/>
    <col min="21" max="21" width="15" style="292" bestFit="1" customWidth="1"/>
    <col min="22" max="22" width="10.5703125" style="292" bestFit="1" customWidth="1"/>
    <col min="23" max="23" width="13.85546875" style="292" bestFit="1" customWidth="1"/>
    <col min="24" max="24" width="42.42578125" style="292" bestFit="1" customWidth="1"/>
    <col min="25" max="25" width="11" style="292" bestFit="1" customWidth="1"/>
    <col min="26" max="26" width="9.85546875" style="292" bestFit="1" customWidth="1"/>
    <col min="27" max="31" width="9.140625" style="292"/>
    <col min="32" max="33" width="13.85546875" style="292" bestFit="1" customWidth="1"/>
    <col min="34" max="16384" width="9.140625" style="292"/>
  </cols>
  <sheetData>
    <row r="1" spans="1:33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33" ht="24" customHeight="1">
      <c r="A2" s="710" t="s">
        <v>353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33" ht="24" customHeight="1">
      <c r="A3" s="293" t="s">
        <v>328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33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</row>
    <row r="5" spans="1:33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34"/>
      <c r="I5" s="735"/>
      <c r="J5" s="735"/>
      <c r="K5" s="736"/>
      <c r="L5" s="719"/>
      <c r="M5" s="301" t="s">
        <v>9</v>
      </c>
    </row>
    <row r="6" spans="1:33" ht="24" customHeight="1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726" t="s">
        <v>141</v>
      </c>
      <c r="I6" s="722"/>
      <c r="J6" s="722"/>
      <c r="K6" s="723"/>
      <c r="L6" s="304">
        <v>1</v>
      </c>
      <c r="M6" s="305">
        <f>IF(L6=0,"-",ROUND(L6*B6/B$84,4))</f>
        <v>5.5599999999999997E-2</v>
      </c>
    </row>
    <row r="7" spans="1:33" ht="24" customHeight="1">
      <c r="A7" s="309" t="s">
        <v>44</v>
      </c>
      <c r="B7" s="399"/>
      <c r="C7" s="320"/>
      <c r="D7" s="320"/>
      <c r="E7" s="320"/>
      <c r="F7" s="320"/>
      <c r="G7" s="320"/>
      <c r="H7" s="720" t="s">
        <v>142</v>
      </c>
      <c r="I7" s="724"/>
      <c r="J7" s="724"/>
      <c r="K7" s="721"/>
      <c r="L7" s="307"/>
      <c r="M7" s="308"/>
    </row>
    <row r="8" spans="1:33" ht="24" customHeight="1">
      <c r="A8" s="309"/>
      <c r="B8" s="399"/>
      <c r="C8" s="320"/>
      <c r="D8" s="320"/>
      <c r="E8" s="320"/>
      <c r="F8" s="320"/>
      <c r="G8" s="320"/>
      <c r="H8" s="720" t="s">
        <v>143</v>
      </c>
      <c r="I8" s="724"/>
      <c r="J8" s="724"/>
      <c r="K8" s="721"/>
      <c r="L8" s="307"/>
      <c r="M8" s="308"/>
    </row>
    <row r="9" spans="1:33" ht="24" customHeight="1">
      <c r="A9" s="309"/>
      <c r="B9" s="399"/>
      <c r="C9" s="320"/>
      <c r="D9" s="320"/>
      <c r="E9" s="320"/>
      <c r="F9" s="320"/>
      <c r="G9" s="320"/>
      <c r="H9" s="720" t="s">
        <v>144</v>
      </c>
      <c r="I9" s="724"/>
      <c r="J9" s="724"/>
      <c r="K9" s="721"/>
      <c r="L9" s="307"/>
      <c r="M9" s="308"/>
    </row>
    <row r="10" spans="1:33" ht="24" customHeight="1">
      <c r="A10" s="309"/>
      <c r="B10" s="399"/>
      <c r="C10" s="320"/>
      <c r="D10" s="320"/>
      <c r="E10" s="320"/>
      <c r="F10" s="320"/>
      <c r="G10" s="320"/>
      <c r="H10" s="720" t="s">
        <v>170</v>
      </c>
      <c r="I10" s="724"/>
      <c r="J10" s="724"/>
      <c r="K10" s="721"/>
      <c r="L10" s="307"/>
      <c r="M10" s="308"/>
    </row>
    <row r="11" spans="1:33" ht="24" customHeight="1">
      <c r="A11" s="309"/>
      <c r="B11" s="399"/>
      <c r="C11" s="320"/>
      <c r="D11" s="320"/>
      <c r="E11" s="320"/>
      <c r="F11" s="320"/>
      <c r="G11" s="320"/>
      <c r="I11" s="323" t="s">
        <v>54</v>
      </c>
      <c r="J11" s="324" t="s">
        <v>11</v>
      </c>
      <c r="K11" s="532" t="s">
        <v>51</v>
      </c>
      <c r="L11" s="307"/>
      <c r="M11" s="308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  <c r="AD11" s="356"/>
      <c r="AE11" s="356"/>
      <c r="AF11" s="356"/>
    </row>
    <row r="12" spans="1:33" ht="24" customHeight="1">
      <c r="A12" s="325"/>
      <c r="B12" s="402"/>
      <c r="C12" s="310"/>
      <c r="D12" s="310"/>
      <c r="E12" s="310"/>
      <c r="F12" s="310"/>
      <c r="G12" s="310"/>
      <c r="H12" s="705" t="s">
        <v>212</v>
      </c>
      <c r="I12" s="706"/>
      <c r="J12" s="706"/>
      <c r="K12" s="707"/>
      <c r="L12" s="326"/>
      <c r="M12" s="299"/>
      <c r="O12" s="356"/>
      <c r="P12" s="356"/>
      <c r="Q12" s="356"/>
      <c r="R12" s="356"/>
      <c r="S12" s="356"/>
      <c r="T12" s="356"/>
      <c r="U12" s="530" t="s">
        <v>324</v>
      </c>
      <c r="V12" s="530" t="s">
        <v>240</v>
      </c>
      <c r="W12" s="356"/>
      <c r="X12" s="356"/>
      <c r="Y12" s="356"/>
      <c r="Z12" s="356"/>
      <c r="AA12" s="356"/>
      <c r="AB12" s="356"/>
      <c r="AC12" s="356"/>
      <c r="AD12" s="356"/>
      <c r="AE12" s="356"/>
      <c r="AF12" s="356"/>
    </row>
    <row r="13" spans="1:33" ht="24" customHeight="1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722" t="s">
        <v>171</v>
      </c>
      <c r="I13" s="722"/>
      <c r="J13" s="722"/>
      <c r="K13" s="723"/>
      <c r="L13" s="304">
        <f>1+O18</f>
        <v>1.2470213653759572</v>
      </c>
      <c r="M13" s="305">
        <f>IF(L13=0,"-",ROUND(L13*B13/B$84,4))</f>
        <v>0.20780000000000001</v>
      </c>
      <c r="N13" s="429" t="s">
        <v>199</v>
      </c>
      <c r="O13" s="292" t="s">
        <v>354</v>
      </c>
      <c r="U13" s="457">
        <v>32849900</v>
      </c>
      <c r="V13" s="578">
        <v>74.069999999999993</v>
      </c>
      <c r="W13" s="435" t="s">
        <v>51</v>
      </c>
      <c r="X13" s="560"/>
      <c r="Y13" s="561"/>
      <c r="Z13" s="446"/>
      <c r="AA13" s="579"/>
      <c r="AB13" s="579"/>
      <c r="AC13" s="445"/>
      <c r="AD13" s="445"/>
      <c r="AE13" s="445"/>
      <c r="AF13" s="322"/>
      <c r="AG13" s="445"/>
    </row>
    <row r="14" spans="1:33" ht="24" customHeight="1">
      <c r="A14" s="309" t="s">
        <v>21</v>
      </c>
      <c r="B14" s="352"/>
      <c r="C14" s="320"/>
      <c r="D14" s="320"/>
      <c r="E14" s="320"/>
      <c r="F14" s="320"/>
      <c r="G14" s="320"/>
      <c r="H14" s="720" t="s">
        <v>83</v>
      </c>
      <c r="I14" s="724"/>
      <c r="J14" s="724"/>
      <c r="K14" s="721"/>
      <c r="L14" s="307"/>
      <c r="M14" s="308"/>
      <c r="N14" s="487" t="s">
        <v>237</v>
      </c>
      <c r="O14" s="292" t="s">
        <v>355</v>
      </c>
      <c r="U14" s="457">
        <v>88159600</v>
      </c>
      <c r="V14" s="578">
        <v>40.270000000000003</v>
      </c>
      <c r="W14" s="435" t="s">
        <v>51</v>
      </c>
      <c r="X14" s="560"/>
      <c r="Y14" s="561"/>
      <c r="Z14" s="446"/>
      <c r="AA14" s="579"/>
      <c r="AB14" s="579"/>
      <c r="AC14" s="445"/>
      <c r="AD14" s="445"/>
      <c r="AE14" s="445"/>
      <c r="AF14" s="322"/>
      <c r="AG14" s="445"/>
    </row>
    <row r="15" spans="1:33" ht="24" customHeight="1">
      <c r="A15" s="309"/>
      <c r="B15" s="352"/>
      <c r="C15" s="320"/>
      <c r="D15" s="320"/>
      <c r="E15" s="320"/>
      <c r="F15" s="320"/>
      <c r="G15" s="320"/>
      <c r="H15" s="720" t="s">
        <v>172</v>
      </c>
      <c r="I15" s="724"/>
      <c r="J15" s="724"/>
      <c r="K15" s="721"/>
      <c r="L15" s="307"/>
      <c r="M15" s="308"/>
      <c r="O15" s="292" t="s">
        <v>356</v>
      </c>
      <c r="U15" s="457">
        <v>62829593</v>
      </c>
      <c r="V15" s="578">
        <v>99.84</v>
      </c>
      <c r="W15" s="435" t="s">
        <v>51</v>
      </c>
      <c r="X15" s="560"/>
      <c r="Y15" s="561"/>
      <c r="Z15" s="446"/>
      <c r="AA15" s="579"/>
      <c r="AB15" s="579"/>
      <c r="AC15" s="445"/>
      <c r="AD15" s="445"/>
      <c r="AE15" s="445"/>
      <c r="AF15" s="322"/>
      <c r="AG15" s="445"/>
    </row>
    <row r="16" spans="1:33" ht="24" customHeight="1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32"/>
      <c r="L16" s="307"/>
      <c r="M16" s="308"/>
      <c r="N16" s="429"/>
      <c r="O16" s="292" t="s">
        <v>357</v>
      </c>
      <c r="U16" s="457">
        <v>39000000</v>
      </c>
      <c r="V16" s="578">
        <v>42.68</v>
      </c>
      <c r="W16" s="435" t="s">
        <v>51</v>
      </c>
      <c r="X16" s="560"/>
      <c r="Y16" s="561"/>
      <c r="Z16" s="446"/>
      <c r="AA16" s="579"/>
      <c r="AB16" s="579"/>
      <c r="AC16" s="445"/>
      <c r="AD16" s="445"/>
      <c r="AE16" s="445"/>
      <c r="AF16" s="322"/>
      <c r="AG16" s="445"/>
    </row>
    <row r="17" spans="1:34" ht="24" customHeight="1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32"/>
      <c r="L17" s="307"/>
      <c r="M17" s="308"/>
      <c r="N17" s="292">
        <v>10</v>
      </c>
      <c r="O17" s="292">
        <v>1</v>
      </c>
      <c r="T17" s="292" t="s">
        <v>349</v>
      </c>
      <c r="U17" s="457">
        <f>U15+U14+U13+U16</f>
        <v>222839093</v>
      </c>
      <c r="V17" s="580"/>
    </row>
    <row r="18" spans="1:34" ht="23.2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570">
        <f>U18</f>
        <v>62.470213653759572</v>
      </c>
      <c r="K18" s="532" t="s">
        <v>51</v>
      </c>
      <c r="L18" s="307"/>
      <c r="M18" s="308"/>
      <c r="N18" s="581">
        <f>J18-60</f>
        <v>2.470213653759572</v>
      </c>
      <c r="O18" s="292">
        <f>O17*N18/N17</f>
        <v>0.2470213653759572</v>
      </c>
      <c r="U18" s="582">
        <f>((V13*U13)+(V14*U14)+(V15*U15)+(V16*U16))/U17</f>
        <v>62.470213653759572</v>
      </c>
      <c r="V18" s="292" t="s">
        <v>51</v>
      </c>
    </row>
    <row r="19" spans="1:34" ht="23.2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</row>
    <row r="20" spans="1:34" ht="23.25">
      <c r="A20" s="302" t="s">
        <v>175</v>
      </c>
      <c r="B20" s="403">
        <v>12</v>
      </c>
      <c r="C20" s="303">
        <v>0.6</v>
      </c>
      <c r="D20" s="303">
        <v>0.7</v>
      </c>
      <c r="E20" s="303">
        <v>0.8</v>
      </c>
      <c r="F20" s="303">
        <v>0.9</v>
      </c>
      <c r="G20" s="303">
        <v>1</v>
      </c>
      <c r="H20" s="722" t="s">
        <v>176</v>
      </c>
      <c r="I20" s="722"/>
      <c r="J20" s="722"/>
      <c r="K20" s="723"/>
      <c r="L20" s="304">
        <v>1</v>
      </c>
      <c r="M20" s="305">
        <f>IF(L20=0,"-",ROUND(L20*B20/B$84,4))</f>
        <v>0.16669999999999999</v>
      </c>
      <c r="N20" s="429" t="s">
        <v>199</v>
      </c>
      <c r="P20" s="440" t="s">
        <v>227</v>
      </c>
      <c r="U20" s="709" t="s">
        <v>324</v>
      </c>
      <c r="V20" s="709"/>
      <c r="W20" s="530" t="s">
        <v>240</v>
      </c>
    </row>
    <row r="21" spans="1:34" ht="23.25">
      <c r="A21" s="309" t="s">
        <v>177</v>
      </c>
      <c r="B21" s="352"/>
      <c r="C21" s="320"/>
      <c r="D21" s="320"/>
      <c r="E21" s="320"/>
      <c r="F21" s="320"/>
      <c r="G21" s="320"/>
      <c r="H21" s="405" t="s">
        <v>178</v>
      </c>
      <c r="L21" s="307"/>
      <c r="M21" s="308"/>
      <c r="N21" s="487" t="s">
        <v>237</v>
      </c>
      <c r="O21" s="441">
        <v>1</v>
      </c>
      <c r="P21" s="442" t="s">
        <v>204</v>
      </c>
      <c r="Q21" s="442"/>
      <c r="R21" s="442"/>
      <c r="S21" s="442"/>
      <c r="T21" s="442"/>
      <c r="U21" s="742">
        <v>32849900</v>
      </c>
      <c r="V21" s="743"/>
      <c r="W21" s="583">
        <f>V13</f>
        <v>74.069999999999993</v>
      </c>
      <c r="X21" s="292" t="s">
        <v>222</v>
      </c>
      <c r="Y21" s="445"/>
      <c r="Z21" s="445"/>
      <c r="AA21" s="445"/>
      <c r="AB21" s="445"/>
      <c r="AC21" s="445"/>
      <c r="AD21" s="445"/>
      <c r="AE21" s="445"/>
      <c r="AF21" s="446"/>
      <c r="AG21" s="569"/>
      <c r="AH21" s="446"/>
    </row>
    <row r="22" spans="1:34" ht="23.25">
      <c r="A22" s="309"/>
      <c r="B22" s="352"/>
      <c r="C22" s="320"/>
      <c r="D22" s="320"/>
      <c r="E22" s="320"/>
      <c r="F22" s="320"/>
      <c r="G22" s="320"/>
      <c r="H22" s="720" t="s">
        <v>83</v>
      </c>
      <c r="I22" s="724"/>
      <c r="J22" s="724"/>
      <c r="K22" s="721"/>
      <c r="L22" s="307"/>
      <c r="M22" s="308"/>
      <c r="O22" s="444">
        <v>2</v>
      </c>
      <c r="P22" s="445" t="s">
        <v>205</v>
      </c>
      <c r="Q22" s="445"/>
      <c r="R22" s="445"/>
      <c r="S22" s="445"/>
      <c r="T22" s="445"/>
      <c r="U22" s="744">
        <v>88159600</v>
      </c>
      <c r="V22" s="745"/>
      <c r="W22" s="584">
        <f>V14</f>
        <v>40.270000000000003</v>
      </c>
      <c r="Y22" s="445"/>
      <c r="Z22" s="445"/>
      <c r="AA22" s="445"/>
      <c r="AB22" s="445"/>
      <c r="AC22" s="445"/>
      <c r="AD22" s="445"/>
      <c r="AE22" s="445"/>
      <c r="AF22" s="446"/>
      <c r="AG22" s="569"/>
      <c r="AH22" s="446"/>
    </row>
    <row r="23" spans="1:34" ht="23.25">
      <c r="A23" s="309"/>
      <c r="B23" s="352"/>
      <c r="C23" s="320"/>
      <c r="D23" s="320"/>
      <c r="E23" s="320"/>
      <c r="F23" s="320"/>
      <c r="G23" s="320"/>
      <c r="H23" s="531" t="s">
        <v>172</v>
      </c>
      <c r="I23" s="535"/>
      <c r="J23" s="535"/>
      <c r="K23" s="532"/>
      <c r="L23" s="307"/>
      <c r="M23" s="308"/>
      <c r="O23" s="447">
        <v>3</v>
      </c>
      <c r="P23" s="448" t="s">
        <v>206</v>
      </c>
      <c r="Q23" s="448"/>
      <c r="R23" s="448"/>
      <c r="S23" s="448"/>
      <c r="T23" s="448"/>
      <c r="U23" s="740">
        <v>39000000</v>
      </c>
      <c r="V23" s="741"/>
      <c r="W23" s="585">
        <f>V16</f>
        <v>42.68</v>
      </c>
      <c r="Y23" s="445"/>
      <c r="Z23" s="445"/>
      <c r="AA23" s="445"/>
      <c r="AB23" s="445"/>
      <c r="AC23" s="445"/>
      <c r="AD23" s="445"/>
      <c r="AE23" s="445"/>
      <c r="AF23" s="446"/>
      <c r="AG23" s="569"/>
      <c r="AH23" s="446"/>
    </row>
    <row r="24" spans="1:34" ht="23.25">
      <c r="A24" s="309"/>
      <c r="B24" s="352"/>
      <c r="C24" s="320"/>
      <c r="D24" s="320"/>
      <c r="E24" s="320"/>
      <c r="F24" s="320"/>
      <c r="G24" s="320"/>
      <c r="H24" s="380" t="s">
        <v>173</v>
      </c>
      <c r="I24" s="323"/>
      <c r="J24" s="328"/>
      <c r="K24" s="532"/>
      <c r="L24" s="307"/>
      <c r="M24" s="308"/>
      <c r="T24" s="292" t="s">
        <v>20</v>
      </c>
      <c r="U24" s="451">
        <f>SUM(U21:V23)</f>
        <v>160009500</v>
      </c>
      <c r="W24" s="586">
        <f>((U21*W21)+(U22*W22)+(U23*W23))/U24</f>
        <v>47.796531987163263</v>
      </c>
      <c r="X24" s="292" t="s">
        <v>51</v>
      </c>
      <c r="Y24" s="445"/>
      <c r="Z24" s="445"/>
      <c r="AA24" s="445"/>
      <c r="AB24" s="445"/>
      <c r="AC24" s="445"/>
      <c r="AD24" s="445"/>
      <c r="AE24" s="445"/>
      <c r="AF24" s="445"/>
      <c r="AG24" s="445"/>
      <c r="AH24" s="445"/>
    </row>
    <row r="25" spans="1:34" ht="23.25">
      <c r="A25" s="309"/>
      <c r="B25" s="352"/>
      <c r="C25" s="320"/>
      <c r="D25" s="320"/>
      <c r="E25" s="320"/>
      <c r="F25" s="320"/>
      <c r="G25" s="320"/>
      <c r="H25" s="380"/>
      <c r="I25" s="323" t="s">
        <v>174</v>
      </c>
      <c r="J25" s="328">
        <f>W24</f>
        <v>47.796531987163263</v>
      </c>
      <c r="K25" s="532" t="s">
        <v>51</v>
      </c>
      <c r="L25" s="307"/>
      <c r="M25" s="308"/>
      <c r="Y25" s="445"/>
      <c r="Z25" s="445"/>
      <c r="AA25" s="445"/>
      <c r="AB25" s="445"/>
      <c r="AC25" s="445"/>
      <c r="AD25" s="445"/>
      <c r="AE25" s="445"/>
      <c r="AF25" s="445"/>
      <c r="AG25" s="445"/>
      <c r="AH25" s="445"/>
    </row>
    <row r="26" spans="1:34" ht="23.25">
      <c r="A26" s="325"/>
      <c r="B26" s="359"/>
      <c r="C26" s="310"/>
      <c r="D26" s="310"/>
      <c r="E26" s="310"/>
      <c r="F26" s="310"/>
      <c r="G26" s="310"/>
      <c r="H26" s="329"/>
      <c r="I26" s="330"/>
      <c r="J26" s="404"/>
      <c r="K26" s="331"/>
      <c r="L26" s="326"/>
      <c r="M26" s="299"/>
      <c r="U26" s="437" t="s">
        <v>324</v>
      </c>
      <c r="V26" s="530" t="s">
        <v>330</v>
      </c>
      <c r="X26" s="445"/>
      <c r="Y26" s="445"/>
      <c r="Z26" s="445"/>
      <c r="AA26" s="445"/>
      <c r="AB26" s="445"/>
    </row>
    <row r="27" spans="1:34" ht="25.5">
      <c r="A27" s="302" t="s">
        <v>179</v>
      </c>
      <c r="B27" s="403">
        <v>4</v>
      </c>
      <c r="C27" s="332">
        <v>0.5</v>
      </c>
      <c r="D27" s="332">
        <v>0.75</v>
      </c>
      <c r="E27" s="332">
        <v>1</v>
      </c>
      <c r="F27" s="332">
        <v>1</v>
      </c>
      <c r="G27" s="332">
        <v>1</v>
      </c>
      <c r="H27" s="726" t="s">
        <v>57</v>
      </c>
      <c r="I27" s="722"/>
      <c r="J27" s="722"/>
      <c r="K27" s="723"/>
      <c r="L27" s="304">
        <v>1.24</v>
      </c>
      <c r="M27" s="305">
        <f>IF(L27=0,"-",ROUND(L27*B27/B$84,4))</f>
        <v>6.8900000000000003E-2</v>
      </c>
      <c r="N27" s="429" t="s">
        <v>199</v>
      </c>
      <c r="O27" s="441" t="s">
        <v>358</v>
      </c>
      <c r="P27" s="442"/>
      <c r="Q27" s="442"/>
      <c r="R27" s="442"/>
      <c r="S27" s="442"/>
      <c r="T27" s="442"/>
      <c r="U27" s="587">
        <v>350000</v>
      </c>
      <c r="V27" s="588">
        <v>294881</v>
      </c>
      <c r="W27" s="589" t="s">
        <v>187</v>
      </c>
      <c r="X27" s="590"/>
      <c r="Y27" s="502"/>
      <c r="Z27" s="503"/>
      <c r="AA27" s="445"/>
      <c r="AB27" s="445"/>
    </row>
    <row r="28" spans="1:34" ht="25.5">
      <c r="A28" s="309" t="s">
        <v>23</v>
      </c>
      <c r="B28" s="352"/>
      <c r="C28" s="320"/>
      <c r="D28" s="320"/>
      <c r="E28" s="320"/>
      <c r="F28" s="335" t="s">
        <v>70</v>
      </c>
      <c r="G28" s="335" t="s">
        <v>70</v>
      </c>
      <c r="H28" s="531" t="s">
        <v>58</v>
      </c>
      <c r="I28" s="535"/>
      <c r="J28" s="535"/>
      <c r="K28" s="532"/>
      <c r="L28" s="307"/>
      <c r="M28" s="308"/>
      <c r="N28" s="487" t="s">
        <v>237</v>
      </c>
      <c r="O28" s="444" t="s">
        <v>359</v>
      </c>
      <c r="P28" s="445"/>
      <c r="Q28" s="445"/>
      <c r="R28" s="445"/>
      <c r="S28" s="445"/>
      <c r="T28" s="445"/>
      <c r="U28" s="591">
        <v>350000</v>
      </c>
      <c r="V28" s="592">
        <v>311716</v>
      </c>
      <c r="W28" s="589" t="s">
        <v>187</v>
      </c>
      <c r="X28" s="467"/>
      <c r="Y28" s="502"/>
      <c r="Z28" s="503"/>
      <c r="AA28" s="445"/>
      <c r="AB28" s="445"/>
    </row>
    <row r="29" spans="1:34" ht="25.5">
      <c r="A29" s="309" t="s">
        <v>24</v>
      </c>
      <c r="B29" s="352"/>
      <c r="C29" s="320"/>
      <c r="D29" s="320"/>
      <c r="E29" s="320"/>
      <c r="F29" s="335" t="s">
        <v>137</v>
      </c>
      <c r="G29" s="335" t="s">
        <v>138</v>
      </c>
      <c r="H29" s="531" t="s">
        <v>147</v>
      </c>
      <c r="I29" s="535"/>
      <c r="J29" s="535"/>
      <c r="K29" s="532"/>
      <c r="L29" s="307"/>
      <c r="M29" s="308"/>
      <c r="O29" s="447" t="s">
        <v>360</v>
      </c>
      <c r="P29" s="448"/>
      <c r="Q29" s="448"/>
      <c r="R29" s="448"/>
      <c r="S29" s="448"/>
      <c r="T29" s="448"/>
      <c r="U29" s="593">
        <v>600000</v>
      </c>
      <c r="V29" s="594">
        <v>120782</v>
      </c>
      <c r="W29" s="589" t="s">
        <v>187</v>
      </c>
      <c r="X29" s="467"/>
      <c r="Y29" s="502"/>
      <c r="Z29" s="503"/>
      <c r="AA29" s="445"/>
      <c r="AB29" s="445"/>
    </row>
    <row r="30" spans="1:34" ht="23.25">
      <c r="A30" s="309"/>
      <c r="B30" s="352"/>
      <c r="C30" s="320"/>
      <c r="D30" s="320"/>
      <c r="E30" s="320"/>
      <c r="F30" s="320"/>
      <c r="G30" s="320"/>
      <c r="H30" s="531" t="s">
        <v>180</v>
      </c>
      <c r="I30" s="535"/>
      <c r="J30" s="535"/>
      <c r="K30" s="532"/>
      <c r="L30" s="307"/>
      <c r="M30" s="308"/>
      <c r="O30" s="292">
        <v>25</v>
      </c>
      <c r="P30" s="292">
        <v>1</v>
      </c>
      <c r="T30" s="292" t="s">
        <v>349</v>
      </c>
      <c r="U30" s="580">
        <f>U28+U27+U29</f>
        <v>1300000</v>
      </c>
      <c r="V30" s="580">
        <f>V28+V27+V29</f>
        <v>727379</v>
      </c>
    </row>
    <row r="31" spans="1:34" ht="23.25">
      <c r="A31" s="309"/>
      <c r="B31" s="352"/>
      <c r="C31" s="320"/>
      <c r="D31" s="320"/>
      <c r="E31" s="320"/>
      <c r="F31" s="320"/>
      <c r="G31" s="311"/>
      <c r="H31" s="531"/>
      <c r="I31" s="323" t="s">
        <v>56</v>
      </c>
      <c r="J31" s="324">
        <f>U31</f>
        <v>55.952230769230766</v>
      </c>
      <c r="K31" s="532" t="s">
        <v>51</v>
      </c>
      <c r="L31" s="307"/>
      <c r="M31" s="308"/>
      <c r="O31" s="562">
        <f>J31-50</f>
        <v>5.9522307692307663</v>
      </c>
      <c r="P31" s="562">
        <f>P30*O31/O30</f>
        <v>0.23808923076923066</v>
      </c>
      <c r="U31" s="494">
        <f>V30*100/U30</f>
        <v>55.952230769230766</v>
      </c>
      <c r="V31" s="292" t="s">
        <v>51</v>
      </c>
    </row>
    <row r="32" spans="1:34" ht="23.25">
      <c r="A32" s="309"/>
      <c r="B32" s="352"/>
      <c r="C32" s="320"/>
      <c r="D32" s="320"/>
      <c r="E32" s="320"/>
      <c r="F32" s="320"/>
      <c r="G32" s="320"/>
      <c r="H32" s="333"/>
      <c r="I32" s="306"/>
      <c r="J32" s="306"/>
      <c r="K32" s="312"/>
      <c r="L32" s="307"/>
      <c r="M32" s="308"/>
    </row>
    <row r="33" spans="1:16" ht="23.25">
      <c r="A33" s="302" t="s">
        <v>183</v>
      </c>
      <c r="B33" s="403">
        <v>4</v>
      </c>
      <c r="C33" s="332">
        <v>0.8</v>
      </c>
      <c r="D33" s="332">
        <v>0.85</v>
      </c>
      <c r="E33" s="332">
        <v>0.9</v>
      </c>
      <c r="F33" s="332">
        <v>0.95</v>
      </c>
      <c r="G33" s="332">
        <v>1</v>
      </c>
      <c r="H33" s="386" t="s">
        <v>150</v>
      </c>
      <c r="I33" s="387"/>
      <c r="J33" s="387"/>
      <c r="K33" s="388"/>
      <c r="L33" s="304">
        <f>1+P34</f>
        <v>1.5</v>
      </c>
      <c r="M33" s="305">
        <f>IF(L33=0,"-",ROUND(L33*B33/B$84,4))</f>
        <v>8.3299999999999999E-2</v>
      </c>
      <c r="N33" s="429" t="s">
        <v>201</v>
      </c>
      <c r="O33" s="292">
        <v>5</v>
      </c>
      <c r="P33" s="292">
        <v>1</v>
      </c>
    </row>
    <row r="34" spans="1:16" ht="23.25">
      <c r="A34" s="309" t="s">
        <v>28</v>
      </c>
      <c r="B34" s="352"/>
      <c r="C34" s="320"/>
      <c r="D34" s="320"/>
      <c r="E34" s="320"/>
      <c r="F34" s="320"/>
      <c r="G34" s="320"/>
      <c r="H34" s="531" t="s">
        <v>154</v>
      </c>
      <c r="I34" s="535"/>
      <c r="J34" s="535"/>
      <c r="K34" s="532"/>
      <c r="L34" s="307"/>
      <c r="M34" s="308"/>
      <c r="N34" s="487" t="s">
        <v>237</v>
      </c>
      <c r="O34" s="595">
        <f>J40-85</f>
        <v>2.5</v>
      </c>
      <c r="P34" s="292">
        <f>P33*O34/O33</f>
        <v>0.5</v>
      </c>
    </row>
    <row r="35" spans="1:16" ht="23.25">
      <c r="A35" s="309" t="s">
        <v>60</v>
      </c>
      <c r="B35" s="352"/>
      <c r="C35" s="320"/>
      <c r="D35" s="320"/>
      <c r="E35" s="320"/>
      <c r="F35" s="320"/>
      <c r="G35" s="320"/>
      <c r="H35" s="531" t="s">
        <v>64</v>
      </c>
      <c r="I35" s="535"/>
      <c r="J35" s="535"/>
      <c r="K35" s="532"/>
      <c r="L35" s="307"/>
      <c r="M35" s="308"/>
    </row>
    <row r="36" spans="1:16" ht="23.25">
      <c r="A36" s="309"/>
      <c r="B36" s="352"/>
      <c r="C36" s="320"/>
      <c r="D36" s="320"/>
      <c r="E36" s="320"/>
      <c r="F36" s="320"/>
      <c r="G36" s="320"/>
      <c r="H36" s="380" t="s">
        <v>180</v>
      </c>
      <c r="I36" s="323"/>
      <c r="J36" s="322"/>
      <c r="K36" s="382"/>
      <c r="L36" s="307"/>
      <c r="M36" s="308"/>
    </row>
    <row r="37" spans="1:16" ht="23.25">
      <c r="A37" s="309"/>
      <c r="B37" s="352"/>
      <c r="C37" s="320"/>
      <c r="D37" s="320"/>
      <c r="E37" s="320"/>
      <c r="F37" s="320"/>
      <c r="G37" s="320"/>
      <c r="H37" s="380"/>
      <c r="I37" s="323" t="s">
        <v>66</v>
      </c>
      <c r="J37" s="334">
        <v>6</v>
      </c>
      <c r="K37" s="382" t="s">
        <v>325</v>
      </c>
      <c r="L37" s="307"/>
      <c r="M37" s="308"/>
    </row>
    <row r="38" spans="1:16" ht="23.25">
      <c r="A38" s="309"/>
      <c r="B38" s="352"/>
      <c r="C38" s="320"/>
      <c r="D38" s="320"/>
      <c r="E38" s="320"/>
      <c r="F38" s="320"/>
      <c r="G38" s="320"/>
      <c r="H38" s="380"/>
      <c r="I38" s="323" t="s">
        <v>308</v>
      </c>
      <c r="J38" s="334">
        <v>2</v>
      </c>
      <c r="K38" s="382" t="s">
        <v>325</v>
      </c>
      <c r="L38" s="307"/>
      <c r="M38" s="308"/>
    </row>
    <row r="39" spans="1:16" ht="23.25">
      <c r="A39" s="309"/>
      <c r="B39" s="352"/>
      <c r="C39" s="320"/>
      <c r="D39" s="320"/>
      <c r="E39" s="320"/>
      <c r="F39" s="320"/>
      <c r="G39" s="320"/>
      <c r="H39" s="531"/>
      <c r="I39" s="323" t="s">
        <v>67</v>
      </c>
      <c r="J39" s="334">
        <v>7</v>
      </c>
      <c r="K39" s="382" t="s">
        <v>61</v>
      </c>
      <c r="L39" s="307"/>
      <c r="M39" s="308"/>
    </row>
    <row r="40" spans="1:16" ht="23.25">
      <c r="A40" s="325"/>
      <c r="B40" s="359"/>
      <c r="C40" s="310"/>
      <c r="D40" s="310"/>
      <c r="E40" s="310"/>
      <c r="F40" s="310"/>
      <c r="G40" s="310"/>
      <c r="H40" s="527"/>
      <c r="I40" s="323" t="s">
        <v>81</v>
      </c>
      <c r="J40" s="334">
        <f>J39*100/(J37+J38)</f>
        <v>87.5</v>
      </c>
      <c r="K40" s="532" t="s">
        <v>51</v>
      </c>
      <c r="L40" s="326"/>
      <c r="M40" s="299"/>
    </row>
    <row r="41" spans="1:16" ht="23.25">
      <c r="A41" s="302" t="s">
        <v>184</v>
      </c>
      <c r="B41" s="403">
        <v>4</v>
      </c>
      <c r="C41" s="332">
        <v>0.5</v>
      </c>
      <c r="D41" s="332">
        <v>0.75</v>
      </c>
      <c r="E41" s="332">
        <v>1</v>
      </c>
      <c r="F41" s="332">
        <v>1</v>
      </c>
      <c r="G41" s="332">
        <v>1</v>
      </c>
      <c r="H41" s="536" t="s">
        <v>152</v>
      </c>
      <c r="I41" s="533"/>
      <c r="J41" s="533"/>
      <c r="K41" s="534"/>
      <c r="L41" s="304">
        <v>5</v>
      </c>
      <c r="M41" s="305">
        <f>IF(L41=0,"-",ROUND(L41*B41/B$84,4))</f>
        <v>0.27779999999999999</v>
      </c>
      <c r="N41" s="429" t="s">
        <v>332</v>
      </c>
    </row>
    <row r="42" spans="1:16" ht="23.25">
      <c r="A42" s="309" t="s">
        <v>151</v>
      </c>
      <c r="B42" s="406"/>
      <c r="C42" s="335"/>
      <c r="D42" s="335"/>
      <c r="E42" s="335"/>
      <c r="F42" s="335" t="s">
        <v>70</v>
      </c>
      <c r="G42" s="335" t="s">
        <v>70</v>
      </c>
      <c r="H42" s="535" t="s">
        <v>153</v>
      </c>
      <c r="I42" s="535"/>
      <c r="J42" s="535"/>
      <c r="K42" s="532"/>
      <c r="L42" s="307"/>
      <c r="M42" s="308"/>
      <c r="N42" s="487" t="s">
        <v>237</v>
      </c>
    </row>
    <row r="43" spans="1:16" ht="23.25">
      <c r="A43" s="309"/>
      <c r="B43" s="406"/>
      <c r="C43" s="335"/>
      <c r="D43" s="335"/>
      <c r="E43" s="335"/>
      <c r="F43" s="335" t="s">
        <v>137</v>
      </c>
      <c r="G43" s="335" t="s">
        <v>138</v>
      </c>
      <c r="H43" s="535" t="s">
        <v>180</v>
      </c>
      <c r="I43" s="535"/>
      <c r="J43" s="535"/>
      <c r="K43" s="532"/>
      <c r="L43" s="307"/>
      <c r="M43" s="308"/>
    </row>
    <row r="44" spans="1:16" ht="23.25">
      <c r="A44" s="309"/>
      <c r="B44" s="406"/>
      <c r="C44" s="336"/>
      <c r="D44" s="336"/>
      <c r="E44" s="336"/>
      <c r="F44" s="336"/>
      <c r="G44" s="390"/>
      <c r="H44" s="531"/>
      <c r="I44" s="323" t="s">
        <v>56</v>
      </c>
      <c r="J44" s="324">
        <v>100</v>
      </c>
      <c r="K44" s="532" t="s">
        <v>51</v>
      </c>
      <c r="L44" s="307"/>
      <c r="M44" s="308"/>
    </row>
    <row r="45" spans="1:16" ht="23.25">
      <c r="A45" s="325"/>
      <c r="B45" s="359"/>
      <c r="C45" s="310"/>
      <c r="D45" s="310"/>
      <c r="E45" s="310"/>
      <c r="F45" s="310"/>
      <c r="G45" s="310"/>
      <c r="H45" s="527"/>
      <c r="I45" s="528"/>
      <c r="J45" s="528"/>
      <c r="K45" s="529"/>
      <c r="L45" s="326"/>
      <c r="M45" s="299"/>
    </row>
    <row r="46" spans="1:16" ht="23.25">
      <c r="A46" s="302" t="s">
        <v>185</v>
      </c>
      <c r="B46" s="403">
        <v>12</v>
      </c>
      <c r="C46" s="332">
        <v>0.78</v>
      </c>
      <c r="D46" s="332">
        <v>0.81</v>
      </c>
      <c r="E46" s="332">
        <v>0.84</v>
      </c>
      <c r="F46" s="332">
        <v>0.87</v>
      </c>
      <c r="G46" s="332">
        <v>0.9</v>
      </c>
      <c r="H46" s="536" t="s">
        <v>186</v>
      </c>
      <c r="I46" s="533"/>
      <c r="J46" s="533"/>
      <c r="K46" s="534"/>
      <c r="L46" s="304">
        <v>1</v>
      </c>
      <c r="M46" s="305">
        <f>IF(L46=0,"-",ROUND(L46*B46/B$84,4))</f>
        <v>0.16669999999999999</v>
      </c>
      <c r="N46" s="429" t="s">
        <v>199</v>
      </c>
    </row>
    <row r="47" spans="1:16" ht="23.25">
      <c r="A47" s="309" t="s">
        <v>85</v>
      </c>
      <c r="B47" s="352"/>
      <c r="C47" s="320"/>
      <c r="D47" s="320"/>
      <c r="E47" s="320"/>
      <c r="F47" s="320"/>
      <c r="G47" s="320"/>
      <c r="H47" s="531" t="s">
        <v>196</v>
      </c>
      <c r="I47" s="535"/>
      <c r="J47" s="535"/>
      <c r="K47" s="532"/>
      <c r="L47" s="307"/>
      <c r="M47" s="308"/>
      <c r="N47" s="487" t="s">
        <v>237</v>
      </c>
    </row>
    <row r="48" spans="1:16" ht="23.25">
      <c r="A48" s="309"/>
      <c r="B48" s="352"/>
      <c r="C48" s="320"/>
      <c r="D48" s="320"/>
      <c r="E48" s="320"/>
      <c r="F48" s="320"/>
      <c r="G48" s="320"/>
      <c r="H48" s="327"/>
      <c r="I48" s="327" t="s">
        <v>87</v>
      </c>
      <c r="J48" s="433">
        <f>225.14*1000000</f>
        <v>225140000</v>
      </c>
      <c r="K48" s="532" t="s">
        <v>187</v>
      </c>
      <c r="L48" s="307"/>
      <c r="M48" s="308"/>
    </row>
    <row r="49" spans="1:16" ht="23.25">
      <c r="A49" s="309"/>
      <c r="B49" s="352"/>
      <c r="C49" s="320"/>
      <c r="D49" s="320"/>
      <c r="E49" s="320"/>
      <c r="F49" s="320"/>
      <c r="G49" s="320"/>
      <c r="H49" s="327"/>
      <c r="I49" s="323" t="s">
        <v>188</v>
      </c>
      <c r="J49" s="434">
        <v>121130000</v>
      </c>
      <c r="K49" s="532" t="s">
        <v>187</v>
      </c>
      <c r="L49" s="307"/>
      <c r="M49" s="308"/>
    </row>
    <row r="50" spans="1:16" ht="23.25">
      <c r="A50" s="309"/>
      <c r="B50" s="352"/>
      <c r="C50" s="320"/>
      <c r="D50" s="320"/>
      <c r="E50" s="320"/>
      <c r="F50" s="320"/>
      <c r="G50" s="320"/>
      <c r="H50" s="327"/>
      <c r="I50" s="323" t="s">
        <v>189</v>
      </c>
      <c r="J50" s="430">
        <f>J49*100/J48</f>
        <v>53.80207870658257</v>
      </c>
      <c r="K50" s="532" t="s">
        <v>51</v>
      </c>
      <c r="L50" s="307"/>
      <c r="M50" s="308"/>
    </row>
    <row r="51" spans="1:16" ht="23.25">
      <c r="A51" s="325"/>
      <c r="B51" s="359"/>
      <c r="C51" s="310"/>
      <c r="D51" s="310"/>
      <c r="E51" s="310"/>
      <c r="F51" s="310"/>
      <c r="G51" s="310"/>
      <c r="H51" s="337"/>
      <c r="I51" s="427"/>
      <c r="J51" s="338"/>
      <c r="K51" s="428"/>
      <c r="L51" s="326"/>
      <c r="M51" s="299"/>
    </row>
    <row r="52" spans="1:16" ht="23.25">
      <c r="A52" s="339" t="s">
        <v>190</v>
      </c>
      <c r="B52" s="407">
        <v>4</v>
      </c>
      <c r="C52" s="340">
        <v>0.65</v>
      </c>
      <c r="D52" s="340">
        <v>0.7</v>
      </c>
      <c r="E52" s="340">
        <v>0.75</v>
      </c>
      <c r="F52" s="340">
        <v>0.8</v>
      </c>
      <c r="G52" s="340">
        <v>0.85</v>
      </c>
      <c r="H52" s="536" t="s">
        <v>156</v>
      </c>
      <c r="I52" s="533"/>
      <c r="J52" s="533"/>
      <c r="K52" s="534"/>
      <c r="L52" s="304">
        <v>1</v>
      </c>
      <c r="M52" s="305">
        <f>IF(L52=0,"-",ROUND(L52*B52/B$84,4))</f>
        <v>5.5599999999999997E-2</v>
      </c>
      <c r="N52" s="429" t="s">
        <v>340</v>
      </c>
    </row>
    <row r="53" spans="1:16" ht="23.25">
      <c r="A53" s="309" t="s">
        <v>145</v>
      </c>
      <c r="B53" s="352"/>
      <c r="C53" s="320"/>
      <c r="D53" s="320"/>
      <c r="E53" s="320"/>
      <c r="F53" s="320"/>
      <c r="G53" s="320"/>
      <c r="H53" s="531" t="s">
        <v>104</v>
      </c>
      <c r="I53" s="535"/>
      <c r="J53" s="535"/>
      <c r="K53" s="532"/>
      <c r="L53" s="307"/>
      <c r="M53" s="308"/>
      <c r="N53" s="487" t="s">
        <v>237</v>
      </c>
    </row>
    <row r="54" spans="1:16" ht="23.25">
      <c r="A54" s="389" t="s">
        <v>155</v>
      </c>
      <c r="B54" s="352"/>
      <c r="C54" s="320"/>
      <c r="D54" s="320"/>
      <c r="E54" s="320"/>
      <c r="F54" s="320"/>
      <c r="G54" s="320"/>
      <c r="H54" s="531" t="s">
        <v>105</v>
      </c>
      <c r="I54" s="535"/>
      <c r="J54" s="535"/>
      <c r="K54" s="532"/>
      <c r="L54" s="307"/>
      <c r="M54" s="308"/>
    </row>
    <row r="55" spans="1:16" ht="23.25">
      <c r="A55" s="309"/>
      <c r="B55" s="352"/>
      <c r="C55" s="320"/>
      <c r="D55" s="320"/>
      <c r="E55" s="320"/>
      <c r="F55" s="320"/>
      <c r="G55" s="320"/>
      <c r="H55" s="341"/>
      <c r="I55" s="342" t="s">
        <v>113</v>
      </c>
      <c r="J55" s="343" t="s">
        <v>11</v>
      </c>
      <c r="K55" s="532" t="s">
        <v>51</v>
      </c>
      <c r="L55" s="307"/>
      <c r="M55" s="308"/>
    </row>
    <row r="56" spans="1:16" ht="23.25">
      <c r="A56" s="325"/>
      <c r="B56" s="359"/>
      <c r="C56" s="310"/>
      <c r="D56" s="310"/>
      <c r="E56" s="310"/>
      <c r="F56" s="310"/>
      <c r="G56" s="416"/>
      <c r="H56" s="705" t="s">
        <v>211</v>
      </c>
      <c r="I56" s="706"/>
      <c r="J56" s="706"/>
      <c r="K56" s="707"/>
      <c r="L56" s="326"/>
      <c r="M56" s="299"/>
    </row>
    <row r="57" spans="1:16" ht="23.25">
      <c r="A57" s="302" t="s">
        <v>106</v>
      </c>
      <c r="B57" s="407">
        <v>4</v>
      </c>
      <c r="C57" s="346" t="s">
        <v>29</v>
      </c>
      <c r="D57" s="346" t="s">
        <v>30</v>
      </c>
      <c r="E57" s="346" t="s">
        <v>31</v>
      </c>
      <c r="F57" s="346" t="s">
        <v>32</v>
      </c>
      <c r="G57" s="346" t="s">
        <v>33</v>
      </c>
      <c r="H57" s="536" t="s">
        <v>108</v>
      </c>
      <c r="I57" s="533"/>
      <c r="J57" s="533"/>
      <c r="K57" s="534"/>
      <c r="L57" s="304">
        <v>2</v>
      </c>
      <c r="M57" s="305">
        <f>IF(L57=0,"-",ROUND(L57*B57/B$84,4))</f>
        <v>0.1111</v>
      </c>
      <c r="N57" s="429" t="s">
        <v>332</v>
      </c>
    </row>
    <row r="58" spans="1:16" ht="23.25">
      <c r="A58" s="309" t="s">
        <v>107</v>
      </c>
      <c r="B58" s="352"/>
      <c r="C58" s="348">
        <v>1.5</v>
      </c>
      <c r="D58" s="348">
        <v>2</v>
      </c>
      <c r="E58" s="348">
        <v>2.5</v>
      </c>
      <c r="F58" s="348">
        <v>3</v>
      </c>
      <c r="G58" s="348">
        <v>5</v>
      </c>
      <c r="H58" s="531" t="s">
        <v>146</v>
      </c>
      <c r="I58" s="535"/>
      <c r="J58" s="535"/>
      <c r="K58" s="532"/>
      <c r="L58" s="307"/>
      <c r="M58" s="308"/>
      <c r="N58" s="487" t="s">
        <v>237</v>
      </c>
    </row>
    <row r="59" spans="1:16" ht="23.25">
      <c r="A59" s="309"/>
      <c r="B59" s="352"/>
      <c r="C59" s="344"/>
      <c r="D59" s="344"/>
      <c r="E59" s="344"/>
      <c r="F59" s="344"/>
      <c r="G59" s="344"/>
      <c r="H59" s="531" t="s">
        <v>110</v>
      </c>
      <c r="I59" s="535"/>
      <c r="J59" s="535"/>
      <c r="K59" s="532"/>
      <c r="L59" s="307"/>
      <c r="M59" s="308"/>
    </row>
    <row r="60" spans="1:16" ht="23.25">
      <c r="A60" s="309"/>
      <c r="B60" s="352"/>
      <c r="C60" s="344"/>
      <c r="D60" s="344"/>
      <c r="E60" s="344"/>
      <c r="F60" s="344"/>
      <c r="G60" s="344"/>
      <c r="H60" s="531" t="s">
        <v>191</v>
      </c>
      <c r="I60" s="535"/>
      <c r="J60" s="535"/>
      <c r="K60" s="532"/>
      <c r="L60" s="307"/>
      <c r="M60" s="308"/>
    </row>
    <row r="61" spans="1:16" ht="23.25">
      <c r="A61" s="309"/>
      <c r="B61" s="352"/>
      <c r="C61" s="344"/>
      <c r="D61" s="344"/>
      <c r="E61" s="344"/>
      <c r="F61" s="344"/>
      <c r="G61" s="344"/>
      <c r="H61" s="531"/>
      <c r="I61" s="323" t="s">
        <v>112</v>
      </c>
      <c r="J61" s="324">
        <v>2</v>
      </c>
      <c r="K61" s="382"/>
      <c r="L61" s="307"/>
      <c r="M61" s="308"/>
    </row>
    <row r="62" spans="1:16" ht="23.25">
      <c r="A62" s="325"/>
      <c r="B62" s="359"/>
      <c r="C62" s="310"/>
      <c r="D62" s="310"/>
      <c r="E62" s="310"/>
      <c r="F62" s="310"/>
      <c r="G62" s="310"/>
      <c r="H62" s="705"/>
      <c r="I62" s="706"/>
      <c r="J62" s="706"/>
      <c r="K62" s="707"/>
      <c r="L62" s="326"/>
      <c r="M62" s="299"/>
    </row>
    <row r="63" spans="1:16" ht="23.25">
      <c r="A63" s="350" t="s">
        <v>132</v>
      </c>
      <c r="B63" s="407">
        <v>4</v>
      </c>
      <c r="C63" s="340">
        <v>0.1</v>
      </c>
      <c r="D63" s="340">
        <v>0.3</v>
      </c>
      <c r="E63" s="340">
        <v>0.5</v>
      </c>
      <c r="F63" s="340">
        <v>0.7</v>
      </c>
      <c r="G63" s="340">
        <v>1</v>
      </c>
      <c r="H63" s="536" t="s">
        <v>123</v>
      </c>
      <c r="I63" s="533"/>
      <c r="J63" s="533"/>
      <c r="K63" s="534"/>
      <c r="L63" s="304">
        <v>4.7332999999999998</v>
      </c>
      <c r="M63" s="305">
        <f>IF(L63=0,"-",ROUND(L63*B63/B$84,4))</f>
        <v>0.26300000000000001</v>
      </c>
      <c r="N63" s="429" t="s">
        <v>202</v>
      </c>
      <c r="O63" s="292">
        <v>30</v>
      </c>
      <c r="P63" s="292">
        <v>1</v>
      </c>
    </row>
    <row r="64" spans="1:16" ht="23.25">
      <c r="A64" s="351" t="s">
        <v>192</v>
      </c>
      <c r="B64" s="352"/>
      <c r="C64" s="320"/>
      <c r="D64" s="320"/>
      <c r="E64" s="320"/>
      <c r="F64" s="320"/>
      <c r="G64" s="311"/>
      <c r="H64" s="531" t="s">
        <v>124</v>
      </c>
      <c r="I64" s="322"/>
      <c r="J64" s="353"/>
      <c r="K64" s="354"/>
      <c r="L64" s="355"/>
      <c r="M64" s="308"/>
      <c r="N64" s="487" t="s">
        <v>237</v>
      </c>
      <c r="O64" s="292">
        <v>22</v>
      </c>
      <c r="P64" s="292">
        <f>P63*O64/O63</f>
        <v>0.73333333333333328</v>
      </c>
    </row>
    <row r="65" spans="1:14" ht="23.25">
      <c r="A65" s="351"/>
      <c r="B65" s="352"/>
      <c r="C65" s="320"/>
      <c r="D65" s="320"/>
      <c r="E65" s="320"/>
      <c r="F65" s="320"/>
      <c r="G65" s="320"/>
      <c r="H65" s="535" t="s">
        <v>125</v>
      </c>
      <c r="I65" s="322"/>
      <c r="J65" s="353"/>
      <c r="K65" s="354"/>
      <c r="L65" s="355"/>
      <c r="M65" s="308"/>
    </row>
    <row r="66" spans="1:14" ht="23.25">
      <c r="A66" s="351"/>
      <c r="B66" s="352"/>
      <c r="C66" s="320"/>
      <c r="D66" s="320"/>
      <c r="E66" s="320"/>
      <c r="F66" s="320"/>
      <c r="G66" s="320"/>
      <c r="H66" s="531" t="s">
        <v>126</v>
      </c>
      <c r="I66" s="322"/>
      <c r="J66" s="353"/>
      <c r="K66" s="354"/>
      <c r="L66" s="355"/>
      <c r="M66" s="308"/>
    </row>
    <row r="67" spans="1:14" ht="23.25">
      <c r="A67" s="351"/>
      <c r="B67" s="352"/>
      <c r="C67" s="320"/>
      <c r="D67" s="320"/>
      <c r="E67" s="320"/>
      <c r="F67" s="320"/>
      <c r="G67" s="320"/>
      <c r="H67" s="531" t="s">
        <v>127</v>
      </c>
      <c r="I67" s="322"/>
      <c r="J67" s="353"/>
      <c r="K67" s="354"/>
      <c r="L67" s="355"/>
      <c r="M67" s="308"/>
    </row>
    <row r="68" spans="1:14" ht="23.25">
      <c r="A68" s="351"/>
      <c r="B68" s="352"/>
      <c r="C68" s="320"/>
      <c r="D68" s="320"/>
      <c r="E68" s="320"/>
      <c r="F68" s="320"/>
      <c r="G68" s="320"/>
      <c r="H68" s="531"/>
      <c r="I68" s="323" t="s">
        <v>114</v>
      </c>
      <c r="J68" s="408">
        <v>92</v>
      </c>
      <c r="K68" s="382" t="s">
        <v>51</v>
      </c>
      <c r="L68" s="355"/>
      <c r="M68" s="308"/>
    </row>
    <row r="69" spans="1:14" ht="23.25">
      <c r="A69" s="358"/>
      <c r="B69" s="359"/>
      <c r="C69" s="310"/>
      <c r="D69" s="310"/>
      <c r="E69" s="310"/>
      <c r="F69" s="310"/>
      <c r="G69" s="310"/>
      <c r="H69" s="330"/>
      <c r="I69" s="427"/>
      <c r="J69" s="427"/>
      <c r="K69" s="428"/>
      <c r="L69" s="360"/>
      <c r="M69" s="299"/>
    </row>
    <row r="70" spans="1:14" ht="23.25">
      <c r="A70" s="302" t="s">
        <v>115</v>
      </c>
      <c r="B70" s="407">
        <v>4</v>
      </c>
      <c r="C70" s="361">
        <v>0.8</v>
      </c>
      <c r="D70" s="361">
        <v>0.85</v>
      </c>
      <c r="E70" s="361">
        <v>0.9</v>
      </c>
      <c r="F70" s="361">
        <v>0.95</v>
      </c>
      <c r="G70" s="361">
        <v>1</v>
      </c>
      <c r="H70" s="536" t="s">
        <v>157</v>
      </c>
      <c r="I70" s="533"/>
      <c r="J70" s="533"/>
      <c r="K70" s="534"/>
      <c r="L70" s="304">
        <v>5</v>
      </c>
      <c r="M70" s="305">
        <f>IF(L70=0,"-",ROUND(L70*B70/B$84,4))</f>
        <v>0.27779999999999999</v>
      </c>
      <c r="N70" s="429" t="s">
        <v>352</v>
      </c>
    </row>
    <row r="71" spans="1:14" ht="23.25">
      <c r="A71" s="309" t="s">
        <v>116</v>
      </c>
      <c r="B71" s="352"/>
      <c r="C71" s="348"/>
      <c r="D71" s="348"/>
      <c r="E71" s="348"/>
      <c r="F71" s="348"/>
      <c r="G71" s="348"/>
      <c r="H71" s="531" t="s">
        <v>158</v>
      </c>
      <c r="I71" s="535"/>
      <c r="J71" s="535"/>
      <c r="K71" s="532"/>
      <c r="L71" s="362"/>
      <c r="M71" s="308"/>
      <c r="N71" s="487" t="s">
        <v>237</v>
      </c>
    </row>
    <row r="72" spans="1:14" ht="23.25">
      <c r="A72" s="309" t="s">
        <v>193</v>
      </c>
      <c r="B72" s="352"/>
      <c r="C72" s="320"/>
      <c r="D72" s="320"/>
      <c r="E72" s="320"/>
      <c r="F72" s="320"/>
      <c r="G72" s="320"/>
      <c r="H72" s="531" t="s">
        <v>197</v>
      </c>
      <c r="I72" s="535"/>
      <c r="J72" s="535"/>
      <c r="K72" s="532"/>
      <c r="L72" s="362"/>
      <c r="M72" s="308"/>
    </row>
    <row r="73" spans="1:14" ht="23.25">
      <c r="A73" s="309"/>
      <c r="B73" s="352"/>
      <c r="C73" s="320"/>
      <c r="D73" s="320"/>
      <c r="E73" s="320"/>
      <c r="F73" s="320"/>
      <c r="G73" s="320"/>
      <c r="H73" s="531" t="s">
        <v>120</v>
      </c>
      <c r="I73" s="535"/>
      <c r="J73" s="535"/>
      <c r="K73" s="532"/>
      <c r="L73" s="362"/>
      <c r="M73" s="308"/>
    </row>
    <row r="74" spans="1:14" ht="23.25">
      <c r="A74" s="309"/>
      <c r="B74" s="352"/>
      <c r="C74" s="320"/>
      <c r="D74" s="320"/>
      <c r="E74" s="320"/>
      <c r="F74" s="320"/>
      <c r="G74" s="320"/>
      <c r="H74" s="531" t="s">
        <v>194</v>
      </c>
      <c r="I74" s="535"/>
      <c r="J74" s="535"/>
      <c r="K74" s="532"/>
      <c r="L74" s="362"/>
      <c r="M74" s="308"/>
    </row>
    <row r="75" spans="1:14" ht="23.25">
      <c r="A75" s="309"/>
      <c r="B75" s="352"/>
      <c r="C75" s="320"/>
      <c r="D75" s="320"/>
      <c r="E75" s="320"/>
      <c r="F75" s="320"/>
      <c r="G75" s="344"/>
      <c r="H75" s="531" t="s">
        <v>195</v>
      </c>
      <c r="I75" s="345"/>
      <c r="J75" s="408">
        <v>100</v>
      </c>
      <c r="K75" s="414" t="s">
        <v>51</v>
      </c>
      <c r="L75" s="413"/>
      <c r="M75" s="308"/>
    </row>
    <row r="76" spans="1:14" ht="23.25">
      <c r="A76" s="358"/>
      <c r="B76" s="415"/>
      <c r="C76" s="412"/>
      <c r="D76" s="412"/>
      <c r="E76" s="412"/>
      <c r="F76" s="412"/>
      <c r="G76" s="329"/>
      <c r="H76" s="538"/>
      <c r="I76" s="418"/>
      <c r="J76" s="419"/>
      <c r="K76" s="417"/>
      <c r="L76" s="420"/>
      <c r="M76" s="308"/>
    </row>
    <row r="77" spans="1:14" ht="23.25">
      <c r="A77" s="351" t="s">
        <v>316</v>
      </c>
      <c r="B77" s="543">
        <v>4</v>
      </c>
      <c r="C77" s="544">
        <v>0.4</v>
      </c>
      <c r="D77" s="544">
        <v>0.45</v>
      </c>
      <c r="E77" s="544">
        <v>0.5</v>
      </c>
      <c r="F77" s="544">
        <v>0.55000000000000004</v>
      </c>
      <c r="G77" s="544">
        <v>0.6</v>
      </c>
      <c r="H77" s="531" t="s">
        <v>317</v>
      </c>
      <c r="I77" s="345"/>
      <c r="J77" s="545"/>
      <c r="K77" s="546"/>
      <c r="L77" s="413">
        <v>4</v>
      </c>
      <c r="M77" s="305">
        <f>IF(L77=0,"-",ROUND(L77*B77/B$84,4))</f>
        <v>0.22220000000000001</v>
      </c>
      <c r="N77" s="429" t="s">
        <v>332</v>
      </c>
    </row>
    <row r="78" spans="1:14" ht="23.25">
      <c r="A78" s="351" t="s">
        <v>318</v>
      </c>
      <c r="B78" s="406"/>
      <c r="C78" s="311"/>
      <c r="D78" s="311"/>
      <c r="E78" s="311"/>
      <c r="F78" s="311"/>
      <c r="G78" s="333"/>
      <c r="H78" s="531" t="s">
        <v>319</v>
      </c>
      <c r="I78" s="345"/>
      <c r="J78" s="545"/>
      <c r="K78" s="546"/>
      <c r="L78" s="413"/>
      <c r="M78" s="308"/>
      <c r="N78" s="487" t="s">
        <v>237</v>
      </c>
    </row>
    <row r="79" spans="1:14" ht="23.25">
      <c r="A79" s="351"/>
      <c r="B79" s="406"/>
      <c r="C79" s="311"/>
      <c r="D79" s="311"/>
      <c r="E79" s="311"/>
      <c r="F79" s="311"/>
      <c r="G79" s="333"/>
      <c r="H79" s="531"/>
      <c r="I79" s="345"/>
      <c r="J79" s="545"/>
      <c r="K79" s="546"/>
      <c r="L79" s="413"/>
      <c r="M79" s="308"/>
    </row>
    <row r="80" spans="1:14" ht="23.25">
      <c r="A80" s="351"/>
      <c r="B80" s="406"/>
      <c r="C80" s="311"/>
      <c r="D80" s="311"/>
      <c r="E80" s="311"/>
      <c r="F80" s="311"/>
      <c r="G80" s="333"/>
      <c r="H80" s="531"/>
      <c r="I80" s="345" t="s">
        <v>174</v>
      </c>
      <c r="J80" s="547">
        <v>55</v>
      </c>
      <c r="K80" s="414" t="s">
        <v>51</v>
      </c>
      <c r="L80" s="413"/>
      <c r="M80" s="308"/>
    </row>
    <row r="81" spans="1:13" ht="23.25">
      <c r="A81" s="351"/>
      <c r="B81" s="406"/>
      <c r="C81" s="311"/>
      <c r="D81" s="311"/>
      <c r="E81" s="311"/>
      <c r="F81" s="311"/>
      <c r="G81" s="333"/>
      <c r="H81" s="531"/>
      <c r="I81" s="345"/>
      <c r="J81" s="545"/>
      <c r="K81" s="546"/>
      <c r="L81" s="413"/>
      <c r="M81" s="308"/>
    </row>
    <row r="82" spans="1:13" ht="23.25">
      <c r="A82" s="351"/>
      <c r="B82" s="406"/>
      <c r="C82" s="311"/>
      <c r="D82" s="311"/>
      <c r="E82" s="311"/>
      <c r="F82" s="311"/>
      <c r="G82" s="333"/>
      <c r="H82" s="531"/>
      <c r="I82" s="345"/>
      <c r="J82" s="545"/>
      <c r="K82" s="546"/>
      <c r="L82" s="413"/>
      <c r="M82" s="308"/>
    </row>
    <row r="83" spans="1:13" ht="23.25">
      <c r="A83" s="358"/>
      <c r="B83" s="415"/>
      <c r="C83" s="412"/>
      <c r="D83" s="412"/>
      <c r="E83" s="412"/>
      <c r="F83" s="412"/>
      <c r="G83" s="416"/>
      <c r="H83" s="538"/>
      <c r="I83" s="345"/>
      <c r="J83" s="545"/>
      <c r="K83" s="417"/>
      <c r="L83" s="413"/>
      <c r="M83" s="308"/>
    </row>
    <row r="84" spans="1:13" ht="26.25">
      <c r="A84" s="363"/>
      <c r="B84" s="409">
        <f>ROUND(SUM(B6:B83),1)</f>
        <v>72</v>
      </c>
      <c r="C84" s="364"/>
      <c r="D84" s="364"/>
      <c r="E84" s="364"/>
      <c r="F84" s="364"/>
      <c r="G84" s="365"/>
      <c r="H84" s="364"/>
      <c r="I84" s="364"/>
      <c r="J84" s="364"/>
      <c r="K84" s="364"/>
      <c r="L84" s="366" t="s">
        <v>139</v>
      </c>
      <c r="M84" s="410">
        <f>(SUM(M6:M83))</f>
        <v>1.9565000000000001</v>
      </c>
    </row>
  </sheetData>
  <mergeCells count="23"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  <mergeCell ref="U23:V23"/>
    <mergeCell ref="H27:K27"/>
    <mergeCell ref="H56:K56"/>
    <mergeCell ref="H62:K62"/>
    <mergeCell ref="H14:K14"/>
    <mergeCell ref="H15:K15"/>
    <mergeCell ref="H20:K20"/>
    <mergeCell ref="U20:V20"/>
    <mergeCell ref="U21:V21"/>
    <mergeCell ref="H22:K22"/>
    <mergeCell ref="U22:V22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26" max="12" man="1"/>
    <brk id="56" max="12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F77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7" width="9.140625" style="292"/>
    <col min="18" max="18" width="13.85546875" style="292" bestFit="1" customWidth="1"/>
    <col min="19" max="20" width="9.140625" style="292"/>
    <col min="21" max="21" width="15" style="292" bestFit="1" customWidth="1"/>
    <col min="22" max="22" width="10.5703125" style="292" bestFit="1" customWidth="1"/>
    <col min="23" max="16384" width="9.140625" style="292"/>
  </cols>
  <sheetData>
    <row r="1" spans="1:32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32" ht="24" customHeight="1">
      <c r="A2" s="710" t="s">
        <v>361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32" ht="24" customHeight="1">
      <c r="A3" s="293" t="s">
        <v>362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32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  <c r="O4" s="429" t="s">
        <v>254</v>
      </c>
    </row>
    <row r="5" spans="1:32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34"/>
      <c r="I5" s="735"/>
      <c r="J5" s="735"/>
      <c r="K5" s="736"/>
      <c r="L5" s="719"/>
      <c r="M5" s="301" t="s">
        <v>9</v>
      </c>
    </row>
    <row r="6" spans="1:32" ht="24" customHeight="1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726" t="s">
        <v>141</v>
      </c>
      <c r="I6" s="722"/>
      <c r="J6" s="722"/>
      <c r="K6" s="723"/>
      <c r="L6" s="304">
        <v>1</v>
      </c>
      <c r="M6" s="305">
        <f>IF(L6=0,"-",ROUND(L6*B6/B$77,4))</f>
        <v>6.6699999999999995E-2</v>
      </c>
    </row>
    <row r="7" spans="1:32" ht="24" customHeight="1">
      <c r="A7" s="309" t="s">
        <v>44</v>
      </c>
      <c r="B7" s="399"/>
      <c r="C7" s="320"/>
      <c r="D7" s="320"/>
      <c r="E7" s="320"/>
      <c r="F7" s="320"/>
      <c r="G7" s="320"/>
      <c r="H7" s="720" t="s">
        <v>142</v>
      </c>
      <c r="I7" s="724"/>
      <c r="J7" s="724"/>
      <c r="K7" s="721"/>
      <c r="L7" s="307"/>
      <c r="M7" s="308"/>
    </row>
    <row r="8" spans="1:32" ht="24" customHeight="1">
      <c r="A8" s="309"/>
      <c r="B8" s="399"/>
      <c r="C8" s="320"/>
      <c r="D8" s="320"/>
      <c r="E8" s="320"/>
      <c r="F8" s="320"/>
      <c r="G8" s="320"/>
      <c r="H8" s="720" t="s">
        <v>143</v>
      </c>
      <c r="I8" s="724"/>
      <c r="J8" s="724"/>
      <c r="K8" s="721"/>
      <c r="L8" s="307"/>
      <c r="M8" s="308"/>
    </row>
    <row r="9" spans="1:32" ht="24" customHeight="1">
      <c r="A9" s="309"/>
      <c r="B9" s="399"/>
      <c r="C9" s="320"/>
      <c r="D9" s="320"/>
      <c r="E9" s="320"/>
      <c r="F9" s="320"/>
      <c r="G9" s="320"/>
      <c r="H9" s="720" t="s">
        <v>144</v>
      </c>
      <c r="I9" s="724"/>
      <c r="J9" s="724"/>
      <c r="K9" s="721"/>
      <c r="L9" s="307"/>
      <c r="M9" s="308"/>
    </row>
    <row r="10" spans="1:32" ht="24" customHeight="1">
      <c r="A10" s="309"/>
      <c r="B10" s="399"/>
      <c r="C10" s="320"/>
      <c r="D10" s="320"/>
      <c r="E10" s="320"/>
      <c r="F10" s="320"/>
      <c r="G10" s="320"/>
      <c r="H10" s="720" t="s">
        <v>170</v>
      </c>
      <c r="I10" s="724"/>
      <c r="J10" s="724"/>
      <c r="K10" s="721"/>
      <c r="L10" s="307"/>
      <c r="M10" s="308"/>
    </row>
    <row r="11" spans="1:32" ht="24" customHeight="1">
      <c r="A11" s="309"/>
      <c r="B11" s="399"/>
      <c r="C11" s="320"/>
      <c r="D11" s="320"/>
      <c r="E11" s="320"/>
      <c r="F11" s="320"/>
      <c r="G11" s="320"/>
      <c r="I11" s="323" t="s">
        <v>54</v>
      </c>
      <c r="J11" s="324" t="s">
        <v>11</v>
      </c>
      <c r="K11" s="532" t="s">
        <v>51</v>
      </c>
      <c r="L11" s="307"/>
      <c r="M11" s="308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  <c r="AD11" s="356"/>
      <c r="AE11" s="356"/>
      <c r="AF11" s="356"/>
    </row>
    <row r="12" spans="1:32" ht="24" customHeight="1">
      <c r="A12" s="325"/>
      <c r="B12" s="402"/>
      <c r="C12" s="310"/>
      <c r="D12" s="310"/>
      <c r="E12" s="310"/>
      <c r="F12" s="310"/>
      <c r="G12" s="310"/>
      <c r="H12" s="705" t="s">
        <v>212</v>
      </c>
      <c r="I12" s="706"/>
      <c r="J12" s="706"/>
      <c r="K12" s="707"/>
      <c r="L12" s="326"/>
      <c r="M12" s="299"/>
      <c r="O12" s="356"/>
      <c r="P12" s="356"/>
      <c r="Q12" s="356"/>
      <c r="R12" s="356"/>
      <c r="S12" s="356"/>
      <c r="T12" s="356"/>
      <c r="U12" s="530" t="s">
        <v>324</v>
      </c>
      <c r="V12" s="530" t="s">
        <v>240</v>
      </c>
      <c r="W12" s="356"/>
      <c r="X12" s="356"/>
      <c r="Y12" s="356"/>
      <c r="Z12" s="356"/>
      <c r="AA12" s="356"/>
      <c r="AB12" s="356"/>
      <c r="AC12" s="356"/>
      <c r="AD12" s="356"/>
      <c r="AE12" s="356"/>
      <c r="AF12" s="356"/>
    </row>
    <row r="13" spans="1:32" ht="24" customHeight="1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722" t="s">
        <v>171</v>
      </c>
      <c r="I13" s="722"/>
      <c r="J13" s="722"/>
      <c r="K13" s="723"/>
      <c r="L13" s="304">
        <f>2+P15</f>
        <v>2.1560000000000001</v>
      </c>
      <c r="M13" s="305">
        <f>IF(L13=0,"-",ROUND(L13*B13/B$77,4))</f>
        <v>0.43120000000000003</v>
      </c>
      <c r="N13" s="429" t="s">
        <v>199</v>
      </c>
      <c r="O13" s="454" t="s">
        <v>363</v>
      </c>
      <c r="P13" s="455"/>
      <c r="Q13" s="455"/>
      <c r="R13" s="455"/>
      <c r="S13" s="455"/>
      <c r="T13" s="455"/>
      <c r="U13" s="457">
        <v>600976400</v>
      </c>
      <c r="V13" s="577">
        <v>71.56</v>
      </c>
      <c r="W13" s="575" t="s">
        <v>51</v>
      </c>
      <c r="X13" s="356"/>
      <c r="Y13" s="356"/>
      <c r="Z13" s="356"/>
      <c r="AA13" s="356"/>
      <c r="AB13" s="356"/>
      <c r="AC13" s="356"/>
      <c r="AD13" s="356"/>
      <c r="AE13" s="356"/>
      <c r="AF13" s="356"/>
    </row>
    <row r="14" spans="1:32" ht="24" customHeight="1">
      <c r="A14" s="309" t="s">
        <v>21</v>
      </c>
      <c r="B14" s="352"/>
      <c r="C14" s="320"/>
      <c r="D14" s="320"/>
      <c r="E14" s="320"/>
      <c r="F14" s="320"/>
      <c r="G14" s="320"/>
      <c r="H14" s="720" t="s">
        <v>83</v>
      </c>
      <c r="I14" s="724"/>
      <c r="J14" s="724"/>
      <c r="K14" s="721"/>
      <c r="L14" s="307"/>
      <c r="M14" s="308"/>
      <c r="N14" s="487" t="s">
        <v>237</v>
      </c>
      <c r="O14" s="292">
        <v>10</v>
      </c>
      <c r="P14" s="292">
        <v>1</v>
      </c>
      <c r="T14" s="292" t="s">
        <v>349</v>
      </c>
      <c r="U14" s="457">
        <f>U13</f>
        <v>600976400</v>
      </c>
      <c r="V14" s="577">
        <f>V13</f>
        <v>71.56</v>
      </c>
      <c r="W14" s="575" t="s">
        <v>51</v>
      </c>
      <c r="X14" s="356"/>
      <c r="Y14" s="356"/>
      <c r="Z14" s="356"/>
      <c r="AA14" s="356"/>
      <c r="AB14" s="356"/>
      <c r="AC14" s="356"/>
      <c r="AD14" s="356"/>
      <c r="AE14" s="356"/>
      <c r="AF14" s="356"/>
    </row>
    <row r="15" spans="1:32" ht="24" customHeight="1">
      <c r="A15" s="309"/>
      <c r="B15" s="352"/>
      <c r="C15" s="320"/>
      <c r="D15" s="320"/>
      <c r="E15" s="320"/>
      <c r="F15" s="320"/>
      <c r="G15" s="320"/>
      <c r="H15" s="720" t="s">
        <v>172</v>
      </c>
      <c r="I15" s="724"/>
      <c r="J15" s="724"/>
      <c r="K15" s="721"/>
      <c r="L15" s="307"/>
      <c r="M15" s="308"/>
      <c r="O15" s="562">
        <f>J18-70</f>
        <v>1.5600000000000023</v>
      </c>
      <c r="P15" s="292">
        <f>P14*O15/O14</f>
        <v>0.15600000000000022</v>
      </c>
      <c r="V15" s="494">
        <f>V14</f>
        <v>71.56</v>
      </c>
      <c r="W15" s="292" t="s">
        <v>51</v>
      </c>
      <c r="X15" s="356"/>
      <c r="Y15" s="356"/>
      <c r="Z15" s="356"/>
      <c r="AA15" s="356"/>
      <c r="AB15" s="356"/>
      <c r="AC15" s="356"/>
      <c r="AD15" s="356"/>
      <c r="AE15" s="356"/>
      <c r="AF15" s="356"/>
    </row>
    <row r="16" spans="1:32" ht="24" customHeight="1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32"/>
      <c r="L16" s="307"/>
      <c r="M16" s="308"/>
      <c r="N16" s="429"/>
      <c r="U16" s="580"/>
      <c r="V16" s="580"/>
      <c r="W16" s="356"/>
      <c r="X16" s="356"/>
      <c r="Y16" s="356"/>
      <c r="Z16" s="356"/>
      <c r="AA16" s="356"/>
      <c r="AB16" s="356"/>
      <c r="AC16" s="356"/>
      <c r="AD16" s="356"/>
      <c r="AE16" s="356"/>
      <c r="AF16" s="356"/>
    </row>
    <row r="17" spans="1:22" ht="24" customHeight="1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32"/>
      <c r="L17" s="307"/>
      <c r="M17" s="308"/>
    </row>
    <row r="18" spans="1:22" ht="23.2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570">
        <f>V15</f>
        <v>71.56</v>
      </c>
      <c r="K18" s="532" t="s">
        <v>51</v>
      </c>
      <c r="L18" s="307"/>
      <c r="M18" s="308"/>
    </row>
    <row r="19" spans="1:22" ht="23.2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</row>
    <row r="20" spans="1:22" ht="23.25">
      <c r="A20" s="302" t="s">
        <v>181</v>
      </c>
      <c r="B20" s="403">
        <v>4</v>
      </c>
      <c r="C20" s="332">
        <v>0.96</v>
      </c>
      <c r="D20" s="332">
        <v>0.97</v>
      </c>
      <c r="E20" s="332">
        <v>0.98</v>
      </c>
      <c r="F20" s="332">
        <v>0.99</v>
      </c>
      <c r="G20" s="332">
        <v>1</v>
      </c>
      <c r="H20" s="536" t="s">
        <v>148</v>
      </c>
      <c r="I20" s="533"/>
      <c r="J20" s="533"/>
      <c r="K20" s="534"/>
      <c r="L20" s="304">
        <v>5</v>
      </c>
      <c r="M20" s="305">
        <f>IF(L20=0,"-",ROUND(L20*B20/B$77,4))</f>
        <v>0.33329999999999999</v>
      </c>
      <c r="N20" s="429" t="s">
        <v>214</v>
      </c>
      <c r="O20" s="454" t="s">
        <v>215</v>
      </c>
      <c r="P20" s="455"/>
      <c r="Q20" s="456"/>
      <c r="R20" s="457">
        <v>39889195</v>
      </c>
      <c r="S20" s="292" t="s">
        <v>187</v>
      </c>
      <c r="U20" s="580"/>
      <c r="V20" s="580"/>
    </row>
    <row r="21" spans="1:22" ht="23.25">
      <c r="A21" s="309" t="s">
        <v>26</v>
      </c>
      <c r="B21" s="352"/>
      <c r="C21" s="320"/>
      <c r="D21" s="320"/>
      <c r="E21" s="320"/>
      <c r="F21" s="320"/>
      <c r="G21" s="320"/>
      <c r="H21" s="380" t="s">
        <v>149</v>
      </c>
      <c r="I21" s="381"/>
      <c r="J21" s="381"/>
      <c r="K21" s="382"/>
      <c r="L21" s="307"/>
      <c r="M21" s="308"/>
      <c r="N21" s="452" t="s">
        <v>331</v>
      </c>
      <c r="O21" s="447" t="s">
        <v>216</v>
      </c>
      <c r="P21" s="448"/>
      <c r="Q21" s="450"/>
      <c r="R21" s="477">
        <v>39889194</v>
      </c>
      <c r="S21" s="292" t="s">
        <v>187</v>
      </c>
      <c r="U21" s="580"/>
      <c r="V21" s="580"/>
    </row>
    <row r="22" spans="1:22" ht="23.25">
      <c r="A22" s="309"/>
      <c r="B22" s="352"/>
      <c r="C22" s="320"/>
      <c r="D22" s="320"/>
      <c r="E22" s="320"/>
      <c r="F22" s="320"/>
      <c r="G22" s="320"/>
      <c r="H22" s="380" t="s">
        <v>75</v>
      </c>
      <c r="I22" s="381"/>
      <c r="J22" s="381"/>
      <c r="K22" s="382"/>
      <c r="L22" s="307"/>
      <c r="M22" s="308"/>
      <c r="R22" s="436">
        <f>R21*100/R20</f>
        <v>99.999997493055446</v>
      </c>
      <c r="S22" s="292" t="s">
        <v>51</v>
      </c>
      <c r="U22" s="580"/>
      <c r="V22" s="580"/>
    </row>
    <row r="23" spans="1:22" ht="23.25">
      <c r="A23" s="309"/>
      <c r="B23" s="352"/>
      <c r="C23" s="320"/>
      <c r="D23" s="320"/>
      <c r="E23" s="320"/>
      <c r="F23" s="320"/>
      <c r="G23" s="320"/>
      <c r="H23" s="380" t="s">
        <v>182</v>
      </c>
      <c r="I23" s="383"/>
      <c r="J23" s="383"/>
      <c r="K23" s="384"/>
      <c r="L23" s="307"/>
      <c r="M23" s="308"/>
      <c r="N23" s="487" t="s">
        <v>237</v>
      </c>
      <c r="U23" s="580"/>
      <c r="V23" s="580"/>
    </row>
    <row r="24" spans="1:22" ht="23.25">
      <c r="A24" s="309"/>
      <c r="B24" s="352"/>
      <c r="C24" s="320"/>
      <c r="D24" s="320"/>
      <c r="E24" s="320"/>
      <c r="F24" s="320"/>
      <c r="G24" s="311"/>
      <c r="H24" s="531"/>
      <c r="I24" s="323" t="s">
        <v>56</v>
      </c>
      <c r="J24" s="324">
        <f>R22</f>
        <v>99.999997493055446</v>
      </c>
      <c r="K24" s="532" t="s">
        <v>51</v>
      </c>
      <c r="L24" s="307"/>
      <c r="M24" s="308"/>
      <c r="U24" s="580"/>
      <c r="V24" s="580"/>
    </row>
    <row r="25" spans="1:22" ht="23.25">
      <c r="A25" s="325"/>
      <c r="B25" s="359"/>
      <c r="C25" s="310"/>
      <c r="D25" s="310"/>
      <c r="E25" s="310"/>
      <c r="F25" s="310"/>
      <c r="G25" s="310"/>
      <c r="H25" s="329"/>
      <c r="I25" s="427"/>
      <c r="J25" s="427"/>
      <c r="K25" s="428"/>
      <c r="L25" s="326"/>
      <c r="M25" s="299"/>
    </row>
    <row r="26" spans="1:22" ht="23.25">
      <c r="A26" s="302" t="s">
        <v>183</v>
      </c>
      <c r="B26" s="403">
        <v>4</v>
      </c>
      <c r="C26" s="332">
        <v>0.8</v>
      </c>
      <c r="D26" s="332">
        <v>0.85</v>
      </c>
      <c r="E26" s="332">
        <v>0.9</v>
      </c>
      <c r="F26" s="332">
        <v>0.95</v>
      </c>
      <c r="G26" s="332">
        <v>1</v>
      </c>
      <c r="H26" s="386" t="s">
        <v>150</v>
      </c>
      <c r="I26" s="387"/>
      <c r="J26" s="387"/>
      <c r="K26" s="388"/>
      <c r="L26" s="304">
        <v>5</v>
      </c>
      <c r="M26" s="305">
        <f>IF(L26=0,"-",ROUND(L26*B26/B$77,4))</f>
        <v>0.33329999999999999</v>
      </c>
      <c r="N26" s="429" t="s">
        <v>201</v>
      </c>
    </row>
    <row r="27" spans="1:22" ht="23.25">
      <c r="A27" s="309" t="s">
        <v>28</v>
      </c>
      <c r="B27" s="352"/>
      <c r="C27" s="320"/>
      <c r="D27" s="320"/>
      <c r="E27" s="320"/>
      <c r="F27" s="320"/>
      <c r="G27" s="320"/>
      <c r="H27" s="531" t="s">
        <v>154</v>
      </c>
      <c r="I27" s="535"/>
      <c r="J27" s="535"/>
      <c r="K27" s="532"/>
      <c r="L27" s="307"/>
      <c r="M27" s="308"/>
      <c r="N27" s="487" t="s">
        <v>237</v>
      </c>
    </row>
    <row r="28" spans="1:22" ht="23.25">
      <c r="A28" s="309" t="s">
        <v>60</v>
      </c>
      <c r="B28" s="352"/>
      <c r="C28" s="320"/>
      <c r="D28" s="320"/>
      <c r="E28" s="320"/>
      <c r="F28" s="320"/>
      <c r="G28" s="320"/>
      <c r="H28" s="531" t="s">
        <v>64</v>
      </c>
      <c r="I28" s="535"/>
      <c r="J28" s="535"/>
      <c r="K28" s="532"/>
      <c r="L28" s="307"/>
      <c r="M28" s="308"/>
    </row>
    <row r="29" spans="1:22" ht="23.25">
      <c r="A29" s="309"/>
      <c r="B29" s="352"/>
      <c r="C29" s="320"/>
      <c r="D29" s="320"/>
      <c r="E29" s="320"/>
      <c r="F29" s="320"/>
      <c r="G29" s="320"/>
      <c r="H29" s="380" t="s">
        <v>180</v>
      </c>
      <c r="I29" s="323"/>
      <c r="J29" s="322" t="s">
        <v>364</v>
      </c>
      <c r="K29" s="382"/>
      <c r="L29" s="307"/>
      <c r="M29" s="308"/>
    </row>
    <row r="30" spans="1:22" ht="23.25">
      <c r="A30" s="309"/>
      <c r="B30" s="352"/>
      <c r="C30" s="320"/>
      <c r="D30" s="320"/>
      <c r="E30" s="320"/>
      <c r="F30" s="320"/>
      <c r="G30" s="320"/>
      <c r="H30" s="380"/>
      <c r="I30" s="323" t="s">
        <v>66</v>
      </c>
      <c r="J30" s="334">
        <v>1</v>
      </c>
      <c r="K30" s="382" t="s">
        <v>61</v>
      </c>
      <c r="L30" s="307"/>
      <c r="M30" s="308"/>
    </row>
    <row r="31" spans="1:22" ht="23.25">
      <c r="A31" s="309"/>
      <c r="B31" s="352"/>
      <c r="C31" s="320"/>
      <c r="D31" s="320"/>
      <c r="E31" s="320"/>
      <c r="F31" s="320"/>
      <c r="G31" s="320"/>
      <c r="H31" s="380"/>
      <c r="I31" s="323" t="s">
        <v>67</v>
      </c>
      <c r="J31" s="334">
        <v>1</v>
      </c>
      <c r="K31" s="382" t="s">
        <v>61</v>
      </c>
      <c r="L31" s="307"/>
      <c r="M31" s="308"/>
    </row>
    <row r="32" spans="1:22" ht="23.25">
      <c r="A32" s="309"/>
      <c r="B32" s="352"/>
      <c r="C32" s="320"/>
      <c r="D32" s="320"/>
      <c r="E32" s="320"/>
      <c r="F32" s="320"/>
      <c r="G32" s="320"/>
      <c r="H32" s="531"/>
      <c r="I32" s="323" t="s">
        <v>81</v>
      </c>
      <c r="J32" s="334">
        <f>J31*100/J30</f>
        <v>100</v>
      </c>
      <c r="K32" s="532" t="s">
        <v>51</v>
      </c>
      <c r="L32" s="307"/>
      <c r="M32" s="308"/>
    </row>
    <row r="33" spans="1:16" ht="23.25">
      <c r="A33" s="325"/>
      <c r="B33" s="359"/>
      <c r="C33" s="310"/>
      <c r="D33" s="310"/>
      <c r="E33" s="310"/>
      <c r="F33" s="310"/>
      <c r="G33" s="310"/>
      <c r="H33" s="527"/>
      <c r="I33" s="427"/>
      <c r="J33" s="427"/>
      <c r="K33" s="428"/>
      <c r="L33" s="326"/>
      <c r="M33" s="299"/>
    </row>
    <row r="34" spans="1:16" ht="23.25">
      <c r="A34" s="302" t="s">
        <v>184</v>
      </c>
      <c r="B34" s="403">
        <v>4</v>
      </c>
      <c r="C34" s="332">
        <v>0.5</v>
      </c>
      <c r="D34" s="332">
        <v>0.75</v>
      </c>
      <c r="E34" s="332">
        <v>1</v>
      </c>
      <c r="F34" s="332">
        <v>1</v>
      </c>
      <c r="G34" s="332">
        <v>1</v>
      </c>
      <c r="H34" s="536" t="s">
        <v>152</v>
      </c>
      <c r="I34" s="533"/>
      <c r="J34" s="533"/>
      <c r="K34" s="534"/>
      <c r="L34" s="304">
        <v>1</v>
      </c>
      <c r="M34" s="305">
        <f>IF(L34=0,"-",ROUND(L34*B34/B$77,4))</f>
        <v>6.6699999999999995E-2</v>
      </c>
      <c r="N34" s="429" t="s">
        <v>332</v>
      </c>
    </row>
    <row r="35" spans="1:16" ht="23.25">
      <c r="A35" s="309" t="s">
        <v>151</v>
      </c>
      <c r="B35" s="406"/>
      <c r="C35" s="335"/>
      <c r="D35" s="335"/>
      <c r="E35" s="335"/>
      <c r="F35" s="335" t="s">
        <v>70</v>
      </c>
      <c r="G35" s="335" t="s">
        <v>70</v>
      </c>
      <c r="H35" s="535" t="s">
        <v>153</v>
      </c>
      <c r="I35" s="535"/>
      <c r="J35" s="535"/>
      <c r="K35" s="532"/>
      <c r="L35" s="307"/>
      <c r="M35" s="308"/>
      <c r="N35" s="487" t="s">
        <v>237</v>
      </c>
    </row>
    <row r="36" spans="1:16" ht="23.25">
      <c r="A36" s="309"/>
      <c r="B36" s="406"/>
      <c r="C36" s="335"/>
      <c r="D36" s="335"/>
      <c r="E36" s="335"/>
      <c r="F36" s="335" t="s">
        <v>137</v>
      </c>
      <c r="G36" s="335" t="s">
        <v>138</v>
      </c>
      <c r="H36" s="535" t="s">
        <v>180</v>
      </c>
      <c r="I36" s="535"/>
      <c r="J36" s="535"/>
      <c r="K36" s="532"/>
      <c r="L36" s="307"/>
      <c r="M36" s="308"/>
    </row>
    <row r="37" spans="1:16" ht="23.25">
      <c r="A37" s="309"/>
      <c r="B37" s="406"/>
      <c r="C37" s="336"/>
      <c r="D37" s="336"/>
      <c r="E37" s="336"/>
      <c r="F37" s="336"/>
      <c r="G37" s="390"/>
      <c r="H37" s="531"/>
      <c r="I37" s="323" t="s">
        <v>56</v>
      </c>
      <c r="J37" s="324">
        <v>50</v>
      </c>
      <c r="K37" s="532" t="s">
        <v>51</v>
      </c>
      <c r="L37" s="307"/>
      <c r="M37" s="308"/>
    </row>
    <row r="38" spans="1:16" ht="23.25">
      <c r="A38" s="325"/>
      <c r="B38" s="359"/>
      <c r="C38" s="310"/>
      <c r="D38" s="310"/>
      <c r="E38" s="310"/>
      <c r="F38" s="310"/>
      <c r="G38" s="310"/>
      <c r="H38" s="527"/>
      <c r="I38" s="528"/>
      <c r="J38" s="528"/>
      <c r="K38" s="529"/>
      <c r="L38" s="326"/>
      <c r="M38" s="299"/>
    </row>
    <row r="39" spans="1:16" ht="23.25">
      <c r="A39" s="302" t="s">
        <v>185</v>
      </c>
      <c r="B39" s="403">
        <v>12</v>
      </c>
      <c r="C39" s="332">
        <v>0.78</v>
      </c>
      <c r="D39" s="332">
        <v>0.81</v>
      </c>
      <c r="E39" s="332">
        <v>0.84</v>
      </c>
      <c r="F39" s="332">
        <v>0.87</v>
      </c>
      <c r="G39" s="332">
        <v>0.9</v>
      </c>
      <c r="H39" s="536" t="s">
        <v>186</v>
      </c>
      <c r="I39" s="533"/>
      <c r="J39" s="533"/>
      <c r="K39" s="534"/>
      <c r="L39" s="304">
        <v>1.2633000000000001</v>
      </c>
      <c r="M39" s="305">
        <f>IF(L39=0,"-",ROUND(L39*B39/B$77,4))</f>
        <v>0.25269999999999998</v>
      </c>
      <c r="N39" s="429" t="s">
        <v>199</v>
      </c>
      <c r="O39" s="292">
        <v>3</v>
      </c>
      <c r="P39" s="292">
        <v>1</v>
      </c>
    </row>
    <row r="40" spans="1:16" ht="23.25">
      <c r="A40" s="309" t="s">
        <v>85</v>
      </c>
      <c r="B40" s="352"/>
      <c r="C40" s="320"/>
      <c r="D40" s="320"/>
      <c r="E40" s="320"/>
      <c r="F40" s="320"/>
      <c r="G40" s="320"/>
      <c r="H40" s="531" t="s">
        <v>196</v>
      </c>
      <c r="I40" s="535"/>
      <c r="J40" s="535"/>
      <c r="K40" s="532"/>
      <c r="L40" s="307"/>
      <c r="M40" s="308"/>
      <c r="N40" s="487" t="s">
        <v>237</v>
      </c>
      <c r="O40" s="292">
        <v>0.79</v>
      </c>
      <c r="P40" s="292">
        <f>P39*O40/O39</f>
        <v>0.26333333333333336</v>
      </c>
    </row>
    <row r="41" spans="1:16" ht="23.25">
      <c r="A41" s="309"/>
      <c r="B41" s="352"/>
      <c r="C41" s="320"/>
      <c r="D41" s="320"/>
      <c r="E41" s="320"/>
      <c r="F41" s="320"/>
      <c r="G41" s="320"/>
      <c r="H41" s="327"/>
      <c r="I41" s="327" t="s">
        <v>87</v>
      </c>
      <c r="J41" s="433">
        <v>514670000</v>
      </c>
      <c r="K41" s="532" t="s">
        <v>187</v>
      </c>
      <c r="L41" s="307"/>
      <c r="M41" s="308"/>
    </row>
    <row r="42" spans="1:16" ht="23.25">
      <c r="A42" s="309"/>
      <c r="B42" s="352"/>
      <c r="C42" s="320"/>
      <c r="D42" s="320"/>
      <c r="E42" s="320"/>
      <c r="F42" s="320"/>
      <c r="G42" s="320"/>
      <c r="H42" s="327"/>
      <c r="I42" s="323" t="s">
        <v>188</v>
      </c>
      <c r="J42" s="434">
        <v>405490000</v>
      </c>
      <c r="K42" s="532" t="s">
        <v>187</v>
      </c>
      <c r="L42" s="307"/>
      <c r="M42" s="308"/>
    </row>
    <row r="43" spans="1:16" ht="23.25">
      <c r="A43" s="309"/>
      <c r="B43" s="352"/>
      <c r="C43" s="320"/>
      <c r="D43" s="320"/>
      <c r="E43" s="320"/>
      <c r="F43" s="320"/>
      <c r="G43" s="320"/>
      <c r="H43" s="327"/>
      <c r="I43" s="323" t="s">
        <v>189</v>
      </c>
      <c r="J43" s="430">
        <f>J42*100/J41</f>
        <v>78.786406823790003</v>
      </c>
      <c r="K43" s="532" t="s">
        <v>51</v>
      </c>
      <c r="L43" s="307"/>
      <c r="M43" s="308"/>
    </row>
    <row r="44" spans="1:16" ht="23.25">
      <c r="A44" s="325"/>
      <c r="B44" s="359"/>
      <c r="C44" s="310"/>
      <c r="D44" s="310"/>
      <c r="E44" s="310"/>
      <c r="F44" s="310"/>
      <c r="G44" s="310"/>
      <c r="H44" s="337"/>
      <c r="I44" s="427"/>
      <c r="J44" s="338"/>
      <c r="K44" s="428"/>
      <c r="L44" s="326"/>
      <c r="M44" s="299"/>
    </row>
    <row r="45" spans="1:16" ht="23.25">
      <c r="A45" s="339" t="s">
        <v>190</v>
      </c>
      <c r="B45" s="407">
        <v>4</v>
      </c>
      <c r="C45" s="340">
        <v>0.65</v>
      </c>
      <c r="D45" s="340">
        <v>0.7</v>
      </c>
      <c r="E45" s="340">
        <v>0.75</v>
      </c>
      <c r="F45" s="340">
        <v>0.8</v>
      </c>
      <c r="G45" s="340">
        <v>0.85</v>
      </c>
      <c r="H45" s="536" t="s">
        <v>156</v>
      </c>
      <c r="I45" s="533"/>
      <c r="J45" s="533"/>
      <c r="K45" s="534"/>
      <c r="L45" s="304">
        <v>1</v>
      </c>
      <c r="M45" s="305">
        <f>IF(L45=0,"-",ROUND(L45*B45/B$77,4))</f>
        <v>6.6699999999999995E-2</v>
      </c>
      <c r="N45" s="429" t="s">
        <v>340</v>
      </c>
    </row>
    <row r="46" spans="1:16" ht="23.25">
      <c r="A46" s="309" t="s">
        <v>145</v>
      </c>
      <c r="B46" s="352"/>
      <c r="C46" s="320"/>
      <c r="D46" s="320"/>
      <c r="E46" s="320"/>
      <c r="F46" s="320"/>
      <c r="G46" s="320"/>
      <c r="H46" s="531" t="s">
        <v>104</v>
      </c>
      <c r="I46" s="535"/>
      <c r="J46" s="535"/>
      <c r="K46" s="532"/>
      <c r="L46" s="307"/>
      <c r="M46" s="308"/>
      <c r="N46" s="487" t="s">
        <v>237</v>
      </c>
    </row>
    <row r="47" spans="1:16" ht="23.25">
      <c r="A47" s="389" t="s">
        <v>155</v>
      </c>
      <c r="B47" s="352"/>
      <c r="C47" s="320"/>
      <c r="D47" s="320"/>
      <c r="E47" s="320"/>
      <c r="F47" s="320"/>
      <c r="G47" s="320"/>
      <c r="H47" s="531" t="s">
        <v>105</v>
      </c>
      <c r="I47" s="535"/>
      <c r="J47" s="535"/>
      <c r="K47" s="532"/>
      <c r="L47" s="307"/>
      <c r="M47" s="308"/>
    </row>
    <row r="48" spans="1:16" ht="23.25">
      <c r="A48" s="309"/>
      <c r="B48" s="352"/>
      <c r="C48" s="320"/>
      <c r="D48" s="320"/>
      <c r="E48" s="320"/>
      <c r="F48" s="320"/>
      <c r="G48" s="320"/>
      <c r="H48" s="341"/>
      <c r="I48" s="342" t="s">
        <v>113</v>
      </c>
      <c r="J48" s="343" t="s">
        <v>11</v>
      </c>
      <c r="K48" s="532" t="s">
        <v>51</v>
      </c>
      <c r="L48" s="307"/>
      <c r="M48" s="308"/>
    </row>
    <row r="49" spans="1:17" ht="23.25">
      <c r="A49" s="325"/>
      <c r="B49" s="359"/>
      <c r="C49" s="310"/>
      <c r="D49" s="310"/>
      <c r="E49" s="310"/>
      <c r="F49" s="310"/>
      <c r="G49" s="416"/>
      <c r="H49" s="705" t="s">
        <v>211</v>
      </c>
      <c r="I49" s="706"/>
      <c r="J49" s="706"/>
      <c r="K49" s="707"/>
      <c r="L49" s="326"/>
      <c r="M49" s="299"/>
    </row>
    <row r="50" spans="1:17" ht="23.25">
      <c r="A50" s="302" t="s">
        <v>106</v>
      </c>
      <c r="B50" s="407">
        <v>4</v>
      </c>
      <c r="C50" s="346" t="s">
        <v>29</v>
      </c>
      <c r="D50" s="346" t="s">
        <v>30</v>
      </c>
      <c r="E50" s="346" t="s">
        <v>31</v>
      </c>
      <c r="F50" s="346" t="s">
        <v>32</v>
      </c>
      <c r="G50" s="346" t="s">
        <v>33</v>
      </c>
      <c r="H50" s="536" t="s">
        <v>108</v>
      </c>
      <c r="I50" s="533"/>
      <c r="J50" s="533"/>
      <c r="K50" s="534"/>
      <c r="L50" s="304">
        <v>2</v>
      </c>
      <c r="M50" s="305">
        <f>IF(L50=0,"-",ROUND(L50*B50/B$77,4))</f>
        <v>0.1333</v>
      </c>
      <c r="N50" s="429" t="s">
        <v>332</v>
      </c>
    </row>
    <row r="51" spans="1:17" ht="23.25">
      <c r="A51" s="309" t="s">
        <v>107</v>
      </c>
      <c r="B51" s="352"/>
      <c r="C51" s="348">
        <v>1.5</v>
      </c>
      <c r="D51" s="348">
        <v>2</v>
      </c>
      <c r="E51" s="348">
        <v>2.5</v>
      </c>
      <c r="F51" s="348">
        <v>3</v>
      </c>
      <c r="G51" s="348">
        <v>5</v>
      </c>
      <c r="H51" s="531" t="s">
        <v>146</v>
      </c>
      <c r="I51" s="535"/>
      <c r="J51" s="535"/>
      <c r="K51" s="532"/>
      <c r="L51" s="307"/>
      <c r="M51" s="308"/>
      <c r="N51" s="487" t="s">
        <v>237</v>
      </c>
    </row>
    <row r="52" spans="1:17" ht="23.25">
      <c r="A52" s="309"/>
      <c r="B52" s="352"/>
      <c r="C52" s="344"/>
      <c r="D52" s="344"/>
      <c r="E52" s="344"/>
      <c r="F52" s="344"/>
      <c r="G52" s="344"/>
      <c r="H52" s="531" t="s">
        <v>110</v>
      </c>
      <c r="I52" s="535"/>
      <c r="J52" s="535"/>
      <c r="K52" s="532"/>
      <c r="L52" s="307"/>
      <c r="M52" s="308"/>
    </row>
    <row r="53" spans="1:17" ht="23.25">
      <c r="A53" s="309"/>
      <c r="B53" s="352"/>
      <c r="C53" s="344"/>
      <c r="D53" s="344"/>
      <c r="E53" s="344"/>
      <c r="F53" s="344"/>
      <c r="G53" s="344"/>
      <c r="H53" s="531" t="s">
        <v>191</v>
      </c>
      <c r="I53" s="535"/>
      <c r="J53" s="535"/>
      <c r="K53" s="532"/>
      <c r="L53" s="307"/>
      <c r="M53" s="308"/>
    </row>
    <row r="54" spans="1:17" ht="23.25">
      <c r="A54" s="309"/>
      <c r="B54" s="352"/>
      <c r="C54" s="344"/>
      <c r="D54" s="344"/>
      <c r="E54" s="344"/>
      <c r="F54" s="344"/>
      <c r="G54" s="344"/>
      <c r="H54" s="531"/>
      <c r="I54" s="323" t="s">
        <v>112</v>
      </c>
      <c r="J54" s="324">
        <v>2</v>
      </c>
      <c r="K54" s="382"/>
      <c r="L54" s="307"/>
      <c r="M54" s="308"/>
    </row>
    <row r="55" spans="1:17" ht="23.25">
      <c r="A55" s="325"/>
      <c r="B55" s="359"/>
      <c r="C55" s="310"/>
      <c r="D55" s="310"/>
      <c r="E55" s="310"/>
      <c r="F55" s="310"/>
      <c r="G55" s="310"/>
      <c r="H55" s="705"/>
      <c r="I55" s="706"/>
      <c r="J55" s="706"/>
      <c r="K55" s="707"/>
      <c r="L55" s="326"/>
      <c r="M55" s="299"/>
    </row>
    <row r="56" spans="1:17" ht="23.25">
      <c r="A56" s="350" t="s">
        <v>132</v>
      </c>
      <c r="B56" s="407">
        <v>4</v>
      </c>
      <c r="C56" s="340">
        <v>0.1</v>
      </c>
      <c r="D56" s="340">
        <v>0.3</v>
      </c>
      <c r="E56" s="340">
        <v>0.5</v>
      </c>
      <c r="F56" s="340">
        <v>0.7</v>
      </c>
      <c r="G56" s="340">
        <v>1</v>
      </c>
      <c r="H56" s="536" t="s">
        <v>123</v>
      </c>
      <c r="I56" s="533"/>
      <c r="J56" s="533"/>
      <c r="K56" s="534"/>
      <c r="L56" s="304">
        <v>5</v>
      </c>
      <c r="M56" s="305">
        <f>IF(L56=0,"-",ROUND(L56*B56/B$77,4))</f>
        <v>0.33329999999999999</v>
      </c>
      <c r="N56" s="429" t="s">
        <v>202</v>
      </c>
      <c r="P56" s="292">
        <v>30</v>
      </c>
      <c r="Q56" s="292">
        <v>1</v>
      </c>
    </row>
    <row r="57" spans="1:17" ht="23.25">
      <c r="A57" s="351" t="s">
        <v>192</v>
      </c>
      <c r="B57" s="352"/>
      <c r="C57" s="320"/>
      <c r="D57" s="320"/>
      <c r="E57" s="320"/>
      <c r="F57" s="320"/>
      <c r="G57" s="311"/>
      <c r="H57" s="531" t="s">
        <v>124</v>
      </c>
      <c r="I57" s="322"/>
      <c r="J57" s="353"/>
      <c r="K57" s="354"/>
      <c r="L57" s="355"/>
      <c r="M57" s="308"/>
      <c r="N57" s="487" t="s">
        <v>237</v>
      </c>
      <c r="P57" s="292">
        <v>13</v>
      </c>
      <c r="Q57" s="292">
        <f>Q56*P57/P56</f>
        <v>0.43333333333333335</v>
      </c>
    </row>
    <row r="58" spans="1:17" ht="23.25">
      <c r="A58" s="351"/>
      <c r="B58" s="352"/>
      <c r="C58" s="320"/>
      <c r="D58" s="320"/>
      <c r="E58" s="320"/>
      <c r="F58" s="320"/>
      <c r="G58" s="320"/>
      <c r="H58" s="535" t="s">
        <v>125</v>
      </c>
      <c r="I58" s="322"/>
      <c r="J58" s="353"/>
      <c r="K58" s="354"/>
      <c r="L58" s="355"/>
      <c r="M58" s="308"/>
    </row>
    <row r="59" spans="1:17" ht="23.25">
      <c r="A59" s="351"/>
      <c r="B59" s="352"/>
      <c r="C59" s="320"/>
      <c r="D59" s="320"/>
      <c r="E59" s="320"/>
      <c r="F59" s="320"/>
      <c r="G59" s="320"/>
      <c r="H59" s="531" t="s">
        <v>126</v>
      </c>
      <c r="I59" s="322"/>
      <c r="J59" s="353"/>
      <c r="K59" s="354"/>
      <c r="L59" s="355"/>
      <c r="M59" s="308"/>
    </row>
    <row r="60" spans="1:17" ht="23.25">
      <c r="A60" s="351"/>
      <c r="B60" s="352"/>
      <c r="C60" s="320"/>
      <c r="D60" s="320"/>
      <c r="E60" s="320"/>
      <c r="F60" s="320"/>
      <c r="G60" s="320"/>
      <c r="H60" s="531" t="s">
        <v>127</v>
      </c>
      <c r="I60" s="322"/>
      <c r="J60" s="353"/>
      <c r="K60" s="354"/>
      <c r="L60" s="355"/>
      <c r="M60" s="308"/>
    </row>
    <row r="61" spans="1:17" ht="23.25">
      <c r="A61" s="351"/>
      <c r="B61" s="352"/>
      <c r="C61" s="320"/>
      <c r="D61" s="320"/>
      <c r="E61" s="320"/>
      <c r="F61" s="320"/>
      <c r="G61" s="320"/>
      <c r="H61" s="531"/>
      <c r="I61" s="323" t="s">
        <v>114</v>
      </c>
      <c r="J61" s="408">
        <v>100</v>
      </c>
      <c r="K61" s="382" t="s">
        <v>51</v>
      </c>
      <c r="L61" s="355"/>
      <c r="M61" s="308"/>
    </row>
    <row r="62" spans="1:17" ht="23.25">
      <c r="A62" s="358"/>
      <c r="B62" s="359"/>
      <c r="C62" s="310"/>
      <c r="D62" s="310"/>
      <c r="E62" s="310"/>
      <c r="F62" s="310"/>
      <c r="G62" s="310"/>
      <c r="H62" s="330"/>
      <c r="I62" s="427"/>
      <c r="J62" s="427"/>
      <c r="K62" s="428"/>
      <c r="L62" s="360"/>
      <c r="M62" s="299"/>
    </row>
    <row r="63" spans="1:17" ht="23.25">
      <c r="A63" s="302" t="s">
        <v>115</v>
      </c>
      <c r="B63" s="407">
        <v>4</v>
      </c>
      <c r="C63" s="361">
        <v>0.8</v>
      </c>
      <c r="D63" s="361">
        <v>0.85</v>
      </c>
      <c r="E63" s="361">
        <v>0.9</v>
      </c>
      <c r="F63" s="361">
        <v>0.95</v>
      </c>
      <c r="G63" s="361">
        <v>1</v>
      </c>
      <c r="H63" s="536" t="s">
        <v>157</v>
      </c>
      <c r="I63" s="533"/>
      <c r="J63" s="533"/>
      <c r="K63" s="534"/>
      <c r="L63" s="304">
        <v>4.8639999999999999</v>
      </c>
      <c r="M63" s="305">
        <f>IF(L63=0,"-",ROUND(L63*B63/B$77,4))</f>
        <v>0.32429999999999998</v>
      </c>
      <c r="N63" s="292">
        <v>5</v>
      </c>
      <c r="O63" s="292">
        <v>1</v>
      </c>
    </row>
    <row r="64" spans="1:17" ht="23.25">
      <c r="A64" s="309" t="s">
        <v>116</v>
      </c>
      <c r="B64" s="352"/>
      <c r="C64" s="348"/>
      <c r="D64" s="348"/>
      <c r="E64" s="348"/>
      <c r="F64" s="348"/>
      <c r="G64" s="348"/>
      <c r="H64" s="531" t="s">
        <v>158</v>
      </c>
      <c r="I64" s="535"/>
      <c r="J64" s="535"/>
      <c r="K64" s="532"/>
      <c r="L64" s="362"/>
      <c r="M64" s="308"/>
      <c r="N64" s="292">
        <v>4.32</v>
      </c>
      <c r="O64" s="292">
        <f>O63*N64/N63</f>
        <v>0.8640000000000001</v>
      </c>
    </row>
    <row r="65" spans="1:13" ht="23.25">
      <c r="A65" s="309" t="s">
        <v>193</v>
      </c>
      <c r="B65" s="352"/>
      <c r="C65" s="320"/>
      <c r="D65" s="320"/>
      <c r="E65" s="320"/>
      <c r="F65" s="320"/>
      <c r="G65" s="320"/>
      <c r="H65" s="531" t="s">
        <v>197</v>
      </c>
      <c r="I65" s="535"/>
      <c r="J65" s="535"/>
      <c r="K65" s="532"/>
      <c r="L65" s="362"/>
      <c r="M65" s="308"/>
    </row>
    <row r="66" spans="1:13" ht="23.25">
      <c r="A66" s="309"/>
      <c r="B66" s="352"/>
      <c r="C66" s="320"/>
      <c r="D66" s="320"/>
      <c r="E66" s="320"/>
      <c r="F66" s="320"/>
      <c r="G66" s="320"/>
      <c r="H66" s="531" t="s">
        <v>120</v>
      </c>
      <c r="I66" s="535"/>
      <c r="J66" s="535"/>
      <c r="K66" s="532"/>
      <c r="L66" s="362"/>
      <c r="M66" s="308"/>
    </row>
    <row r="67" spans="1:13" ht="23.25">
      <c r="A67" s="309"/>
      <c r="B67" s="352"/>
      <c r="C67" s="320"/>
      <c r="D67" s="320"/>
      <c r="E67" s="320"/>
      <c r="F67" s="320"/>
      <c r="G67" s="320"/>
      <c r="H67" s="531" t="s">
        <v>194</v>
      </c>
      <c r="I67" s="535"/>
      <c r="J67" s="535"/>
      <c r="K67" s="532"/>
      <c r="L67" s="362"/>
      <c r="M67" s="308"/>
    </row>
    <row r="68" spans="1:13" ht="23.25">
      <c r="A68" s="309"/>
      <c r="B68" s="352"/>
      <c r="C68" s="320"/>
      <c r="D68" s="320"/>
      <c r="E68" s="320"/>
      <c r="F68" s="320"/>
      <c r="G68" s="344"/>
      <c r="H68" s="531" t="s">
        <v>195</v>
      </c>
      <c r="I68" s="345"/>
      <c r="J68" s="408">
        <v>99.32</v>
      </c>
      <c r="K68" s="414" t="s">
        <v>51</v>
      </c>
      <c r="L68" s="413"/>
      <c r="M68" s="308"/>
    </row>
    <row r="69" spans="1:13" ht="23.25">
      <c r="A69" s="358"/>
      <c r="B69" s="415"/>
      <c r="C69" s="412"/>
      <c r="D69" s="412"/>
      <c r="E69" s="412"/>
      <c r="F69" s="412"/>
      <c r="G69" s="329"/>
      <c r="H69" s="538"/>
      <c r="I69" s="418"/>
      <c r="J69" s="419"/>
      <c r="K69" s="417"/>
      <c r="L69" s="420"/>
      <c r="M69" s="308"/>
    </row>
    <row r="70" spans="1:13" ht="23.25">
      <c r="A70" s="351" t="s">
        <v>316</v>
      </c>
      <c r="B70" s="543">
        <v>4</v>
      </c>
      <c r="C70" s="544">
        <v>0.4</v>
      </c>
      <c r="D70" s="544">
        <v>0.45</v>
      </c>
      <c r="E70" s="544">
        <v>0.5</v>
      </c>
      <c r="F70" s="544">
        <v>0.55000000000000004</v>
      </c>
      <c r="G70" s="544">
        <v>0.6</v>
      </c>
      <c r="H70" s="531" t="s">
        <v>317</v>
      </c>
      <c r="I70" s="345"/>
      <c r="J70" s="545"/>
      <c r="K70" s="546"/>
      <c r="L70" s="413">
        <v>3</v>
      </c>
      <c r="M70" s="305">
        <f>IF(L70=0,"-",ROUND(L70*B70/B$77,4))</f>
        <v>0.2</v>
      </c>
    </row>
    <row r="71" spans="1:13" ht="23.25">
      <c r="A71" s="351" t="s">
        <v>318</v>
      </c>
      <c r="B71" s="406"/>
      <c r="C71" s="311"/>
      <c r="D71" s="311"/>
      <c r="E71" s="311"/>
      <c r="F71" s="311"/>
      <c r="G71" s="333"/>
      <c r="H71" s="531" t="s">
        <v>319</v>
      </c>
      <c r="I71" s="345"/>
      <c r="J71" s="545"/>
      <c r="K71" s="546"/>
      <c r="L71" s="413"/>
      <c r="M71" s="308"/>
    </row>
    <row r="72" spans="1:13" ht="23.25">
      <c r="A72" s="351"/>
      <c r="B72" s="406"/>
      <c r="C72" s="311"/>
      <c r="D72" s="311"/>
      <c r="E72" s="311"/>
      <c r="F72" s="311"/>
      <c r="G72" s="333"/>
      <c r="H72" s="531"/>
      <c r="I72" s="345"/>
      <c r="J72" s="545"/>
      <c r="K72" s="546"/>
      <c r="L72" s="413"/>
      <c r="M72" s="308"/>
    </row>
    <row r="73" spans="1:13" ht="23.25">
      <c r="A73" s="351"/>
      <c r="B73" s="406"/>
      <c r="C73" s="311"/>
      <c r="D73" s="311"/>
      <c r="E73" s="311"/>
      <c r="F73" s="311"/>
      <c r="G73" s="333"/>
      <c r="H73" s="531"/>
      <c r="I73" s="345" t="s">
        <v>174</v>
      </c>
      <c r="J73" s="547">
        <v>50</v>
      </c>
      <c r="K73" s="414" t="s">
        <v>51</v>
      </c>
      <c r="L73" s="413"/>
      <c r="M73" s="308"/>
    </row>
    <row r="74" spans="1:13" ht="23.25">
      <c r="A74" s="351"/>
      <c r="B74" s="406"/>
      <c r="C74" s="311"/>
      <c r="D74" s="311"/>
      <c r="E74" s="311"/>
      <c r="F74" s="311"/>
      <c r="G74" s="333"/>
      <c r="H74" s="531"/>
      <c r="I74" s="345"/>
      <c r="J74" s="545"/>
      <c r="K74" s="546"/>
      <c r="L74" s="413"/>
      <c r="M74" s="308"/>
    </row>
    <row r="75" spans="1:13" ht="23.25">
      <c r="A75" s="351"/>
      <c r="B75" s="406"/>
      <c r="C75" s="311"/>
      <c r="D75" s="311"/>
      <c r="E75" s="311"/>
      <c r="F75" s="311"/>
      <c r="G75" s="333"/>
      <c r="H75" s="531"/>
      <c r="I75" s="345"/>
      <c r="J75" s="545"/>
      <c r="K75" s="546"/>
      <c r="L75" s="413"/>
      <c r="M75" s="308"/>
    </row>
    <row r="76" spans="1:13" ht="23.25">
      <c r="A76" s="358"/>
      <c r="B76" s="415"/>
      <c r="C76" s="412"/>
      <c r="D76" s="412"/>
      <c r="E76" s="412"/>
      <c r="F76" s="412"/>
      <c r="G76" s="416"/>
      <c r="H76" s="538"/>
      <c r="I76" s="345"/>
      <c r="J76" s="545"/>
      <c r="K76" s="417"/>
      <c r="L76" s="413"/>
      <c r="M76" s="308"/>
    </row>
    <row r="77" spans="1:13" ht="26.25">
      <c r="A77" s="363"/>
      <c r="B77" s="409">
        <f>ROUND(SUM(B6:B76),1)</f>
        <v>60</v>
      </c>
      <c r="C77" s="364"/>
      <c r="D77" s="364"/>
      <c r="E77" s="364"/>
      <c r="F77" s="364"/>
      <c r="G77" s="365"/>
      <c r="H77" s="364"/>
      <c r="I77" s="364"/>
      <c r="J77" s="364"/>
      <c r="K77" s="364"/>
      <c r="L77" s="366" t="s">
        <v>139</v>
      </c>
      <c r="M77" s="410">
        <f>(SUM(M6:M76))</f>
        <v>2.5415000000000001</v>
      </c>
    </row>
  </sheetData>
  <mergeCells count="16">
    <mergeCell ref="H6:K6"/>
    <mergeCell ref="A1:M1"/>
    <mergeCell ref="A2:M2"/>
    <mergeCell ref="C4:G4"/>
    <mergeCell ref="H4:K5"/>
    <mergeCell ref="L4:L5"/>
    <mergeCell ref="H14:K14"/>
    <mergeCell ref="H15:K15"/>
    <mergeCell ref="H49:K49"/>
    <mergeCell ref="H55:K55"/>
    <mergeCell ref="H7:K7"/>
    <mergeCell ref="H8:K8"/>
    <mergeCell ref="H9:K9"/>
    <mergeCell ref="H10:K10"/>
    <mergeCell ref="H12:K12"/>
    <mergeCell ref="H13:K13"/>
  </mergeCells>
  <printOptions horizontalCentered="1"/>
  <pageMargins left="0.196850393700787" right="0" top="0.55118110236220497" bottom="0.27559055118110198" header="0.196850393700787" footer="0.47244094488188998"/>
  <pageSetup paperSize="9" scale="73" orientation="landscape" r:id="rId1"/>
  <headerFooter scaleWithDoc="0">
    <oddHeader>&amp;R&amp;"TH SarabunPSK,ธรรมดา"&amp;16&amp;P</oddHeader>
  </headerFooter>
  <rowBreaks count="2" manualBreakCount="2">
    <brk id="25" max="12" man="1"/>
    <brk id="55" max="12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E83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20" width="9.140625" style="292"/>
    <col min="21" max="21" width="14.140625" style="292" bestFit="1" customWidth="1"/>
    <col min="22" max="22" width="10.5703125" style="292" bestFit="1" customWidth="1"/>
    <col min="23" max="27" width="9.140625" style="292"/>
    <col min="28" max="29" width="9.85546875" style="292" bestFit="1" customWidth="1"/>
    <col min="30" max="16384" width="9.140625" style="292"/>
  </cols>
  <sheetData>
    <row r="1" spans="1:31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31" ht="24" customHeight="1">
      <c r="A2" s="710" t="s">
        <v>365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31" ht="24" customHeight="1">
      <c r="A3" s="293" t="s">
        <v>366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31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</row>
    <row r="5" spans="1:31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34"/>
      <c r="I5" s="735"/>
      <c r="J5" s="735"/>
      <c r="K5" s="736"/>
      <c r="L5" s="719"/>
      <c r="M5" s="301" t="s">
        <v>9</v>
      </c>
    </row>
    <row r="6" spans="1:31" ht="24" customHeight="1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726" t="s">
        <v>141</v>
      </c>
      <c r="I6" s="722"/>
      <c r="J6" s="722"/>
      <c r="K6" s="723"/>
      <c r="L6" s="304">
        <v>1</v>
      </c>
      <c r="M6" s="305">
        <f>IF(L6=0,"-",ROUND(L6*B6/B$83,4))</f>
        <v>6.25E-2</v>
      </c>
      <c r="N6" s="429" t="s">
        <v>367</v>
      </c>
      <c r="T6" s="292">
        <v>58</v>
      </c>
      <c r="U6" s="292">
        <v>59</v>
      </c>
    </row>
    <row r="7" spans="1:31" ht="24" customHeight="1">
      <c r="A7" s="309" t="s">
        <v>44</v>
      </c>
      <c r="B7" s="399"/>
      <c r="C7" s="320"/>
      <c r="D7" s="320"/>
      <c r="E7" s="320"/>
      <c r="F7" s="320"/>
      <c r="G7" s="320"/>
      <c r="H7" s="720" t="s">
        <v>142</v>
      </c>
      <c r="I7" s="724"/>
      <c r="J7" s="724"/>
      <c r="K7" s="721"/>
      <c r="L7" s="307"/>
      <c r="M7" s="308"/>
      <c r="N7" s="429" t="s">
        <v>237</v>
      </c>
      <c r="T7" s="292">
        <v>30</v>
      </c>
    </row>
    <row r="8" spans="1:31" ht="24" customHeight="1">
      <c r="A8" s="309"/>
      <c r="B8" s="399"/>
      <c r="C8" s="320"/>
      <c r="D8" s="320"/>
      <c r="E8" s="320"/>
      <c r="F8" s="320"/>
      <c r="G8" s="320"/>
      <c r="H8" s="720" t="s">
        <v>143</v>
      </c>
      <c r="I8" s="724"/>
      <c r="J8" s="724"/>
      <c r="K8" s="721"/>
      <c r="L8" s="307"/>
      <c r="M8" s="308"/>
      <c r="N8" s="429"/>
    </row>
    <row r="9" spans="1:31" ht="24" customHeight="1">
      <c r="A9" s="309"/>
      <c r="B9" s="399"/>
      <c r="C9" s="320"/>
      <c r="D9" s="320"/>
      <c r="E9" s="320"/>
      <c r="F9" s="320"/>
      <c r="G9" s="320"/>
      <c r="H9" s="720" t="s">
        <v>144</v>
      </c>
      <c r="I9" s="724"/>
      <c r="J9" s="724"/>
      <c r="K9" s="721"/>
      <c r="L9" s="307"/>
      <c r="M9" s="308"/>
      <c r="N9" s="429"/>
    </row>
    <row r="10" spans="1:31" ht="24" customHeight="1">
      <c r="A10" s="309"/>
      <c r="B10" s="399"/>
      <c r="C10" s="320"/>
      <c r="D10" s="320"/>
      <c r="E10" s="320"/>
      <c r="F10" s="320"/>
      <c r="G10" s="320"/>
      <c r="H10" s="720" t="s">
        <v>170</v>
      </c>
      <c r="I10" s="724"/>
      <c r="J10" s="724"/>
      <c r="K10" s="721"/>
      <c r="L10" s="307"/>
      <c r="M10" s="308"/>
      <c r="N10" s="429"/>
    </row>
    <row r="11" spans="1:31" ht="24" customHeight="1">
      <c r="A11" s="309"/>
      <c r="B11" s="399"/>
      <c r="C11" s="320"/>
      <c r="D11" s="320"/>
      <c r="E11" s="320"/>
      <c r="F11" s="320"/>
      <c r="G11" s="320"/>
      <c r="I11" s="323" t="s">
        <v>54</v>
      </c>
      <c r="J11" s="324" t="s">
        <v>11</v>
      </c>
      <c r="K11" s="532" t="s">
        <v>51</v>
      </c>
      <c r="L11" s="307"/>
      <c r="M11" s="308"/>
      <c r="N11" s="429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  <c r="AD11" s="356"/>
      <c r="AE11" s="356"/>
    </row>
    <row r="12" spans="1:31" ht="24" customHeight="1">
      <c r="A12" s="325"/>
      <c r="B12" s="402"/>
      <c r="C12" s="310"/>
      <c r="D12" s="310"/>
      <c r="E12" s="310"/>
      <c r="F12" s="310"/>
      <c r="G12" s="310"/>
      <c r="H12" s="705" t="s">
        <v>212</v>
      </c>
      <c r="I12" s="706"/>
      <c r="J12" s="706"/>
      <c r="K12" s="707"/>
      <c r="L12" s="326"/>
      <c r="M12" s="299"/>
      <c r="N12" s="429"/>
      <c r="O12" s="356"/>
      <c r="P12" s="356"/>
      <c r="Q12" s="356"/>
      <c r="R12" s="356"/>
      <c r="S12" s="356"/>
      <c r="T12" s="709" t="s">
        <v>324</v>
      </c>
      <c r="U12" s="709"/>
      <c r="V12" s="530" t="s">
        <v>240</v>
      </c>
      <c r="W12" s="356"/>
      <c r="X12" s="356"/>
      <c r="Y12" s="356"/>
      <c r="Z12" s="356"/>
      <c r="AA12" s="356"/>
      <c r="AB12" s="356"/>
      <c r="AC12" s="356"/>
      <c r="AD12" s="356"/>
      <c r="AE12" s="356"/>
    </row>
    <row r="13" spans="1:31" ht="24" customHeight="1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722" t="s">
        <v>171</v>
      </c>
      <c r="I13" s="722"/>
      <c r="J13" s="722"/>
      <c r="K13" s="723"/>
      <c r="L13" s="304">
        <f>3+P15</f>
        <v>3.4760000000000004</v>
      </c>
      <c r="M13" s="305">
        <f>IF(L13=0,"-",ROUND(L13*B13/B$83,4))</f>
        <v>0.65180000000000005</v>
      </c>
      <c r="N13" s="429" t="s">
        <v>199</v>
      </c>
      <c r="P13" s="292" t="s">
        <v>368</v>
      </c>
      <c r="T13" s="747">
        <v>100250826</v>
      </c>
      <c r="U13" s="747"/>
      <c r="V13" s="596">
        <v>84.76</v>
      </c>
      <c r="W13" s="356"/>
      <c r="X13" s="356"/>
      <c r="Y13" s="356"/>
      <c r="Z13" s="356"/>
      <c r="AA13" s="356"/>
      <c r="AB13" s="356"/>
      <c r="AC13" s="356"/>
      <c r="AD13" s="356"/>
      <c r="AE13" s="356"/>
    </row>
    <row r="14" spans="1:31" ht="24" customHeight="1">
      <c r="A14" s="309" t="s">
        <v>21</v>
      </c>
      <c r="B14" s="352"/>
      <c r="C14" s="320"/>
      <c r="D14" s="320"/>
      <c r="E14" s="320"/>
      <c r="F14" s="320"/>
      <c r="G14" s="320"/>
      <c r="H14" s="720" t="s">
        <v>83</v>
      </c>
      <c r="I14" s="724"/>
      <c r="J14" s="724"/>
      <c r="K14" s="721"/>
      <c r="L14" s="307"/>
      <c r="M14" s="308"/>
      <c r="N14" s="429" t="s">
        <v>237</v>
      </c>
      <c r="O14" s="292">
        <v>10</v>
      </c>
      <c r="P14" s="292">
        <v>1</v>
      </c>
      <c r="S14" s="292" t="s">
        <v>349</v>
      </c>
      <c r="T14" s="746">
        <f>T13</f>
        <v>100250826</v>
      </c>
      <c r="U14" s="746"/>
      <c r="V14" s="593">
        <f>V13</f>
        <v>84.76</v>
      </c>
      <c r="W14" s="356"/>
      <c r="X14" s="356"/>
      <c r="Y14" s="356"/>
      <c r="Z14" s="356"/>
      <c r="AA14" s="356"/>
      <c r="AB14" s="356"/>
      <c r="AC14" s="356"/>
      <c r="AD14" s="356"/>
      <c r="AE14" s="356"/>
    </row>
    <row r="15" spans="1:31" ht="24" customHeight="1">
      <c r="A15" s="309"/>
      <c r="B15" s="352"/>
      <c r="C15" s="320"/>
      <c r="D15" s="320"/>
      <c r="E15" s="320"/>
      <c r="F15" s="320"/>
      <c r="G15" s="320"/>
      <c r="H15" s="720" t="s">
        <v>172</v>
      </c>
      <c r="I15" s="724"/>
      <c r="J15" s="724"/>
      <c r="K15" s="721"/>
      <c r="L15" s="307"/>
      <c r="M15" s="308"/>
      <c r="N15" s="429"/>
      <c r="O15" s="562">
        <f>J18-80</f>
        <v>4.7600000000000051</v>
      </c>
      <c r="P15" s="292">
        <f>P14*O15/O14</f>
        <v>0.47600000000000053</v>
      </c>
      <c r="V15" s="580">
        <f>V14</f>
        <v>84.76</v>
      </c>
      <c r="W15" s="292" t="s">
        <v>51</v>
      </c>
      <c r="X15" s="356"/>
      <c r="Y15" s="356"/>
      <c r="Z15" s="356"/>
      <c r="AA15" s="356"/>
      <c r="AB15" s="356"/>
      <c r="AC15" s="356"/>
      <c r="AD15" s="356"/>
      <c r="AE15" s="356"/>
    </row>
    <row r="16" spans="1:31" ht="24" customHeight="1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32"/>
      <c r="L16" s="307"/>
      <c r="M16" s="308"/>
      <c r="N16" s="429"/>
      <c r="U16" s="580"/>
      <c r="V16" s="580"/>
      <c r="W16" s="356"/>
      <c r="X16" s="356"/>
      <c r="Y16" s="356"/>
      <c r="Z16" s="356"/>
      <c r="AA16" s="356"/>
      <c r="AB16" s="356"/>
      <c r="AC16" s="356"/>
      <c r="AD16" s="356"/>
      <c r="AE16" s="356"/>
    </row>
    <row r="17" spans="1:31" ht="24" customHeight="1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32"/>
      <c r="L17" s="307"/>
      <c r="M17" s="308"/>
      <c r="N17" s="429"/>
    </row>
    <row r="18" spans="1:31" ht="23.2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570">
        <f>V15</f>
        <v>84.76</v>
      </c>
      <c r="K18" s="532" t="s">
        <v>51</v>
      </c>
      <c r="L18" s="307"/>
      <c r="M18" s="308"/>
      <c r="N18" s="429"/>
    </row>
    <row r="19" spans="1:31" ht="23.2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  <c r="N19" s="429"/>
    </row>
    <row r="20" spans="1:31" ht="25.5">
      <c r="A20" s="302" t="s">
        <v>179</v>
      </c>
      <c r="B20" s="403">
        <v>4</v>
      </c>
      <c r="C20" s="332">
        <v>0.5</v>
      </c>
      <c r="D20" s="332">
        <v>0.75</v>
      </c>
      <c r="E20" s="332">
        <v>1</v>
      </c>
      <c r="F20" s="332">
        <v>1</v>
      </c>
      <c r="G20" s="332">
        <v>1</v>
      </c>
      <c r="H20" s="726" t="s">
        <v>57</v>
      </c>
      <c r="I20" s="722"/>
      <c r="J20" s="722"/>
      <c r="K20" s="723"/>
      <c r="L20" s="304">
        <f>2+P22</f>
        <v>2.638414533333334</v>
      </c>
      <c r="M20" s="305">
        <f>IF(L20=0,"-",ROUND(L20*B20/B$83,4))</f>
        <v>0.16489999999999999</v>
      </c>
      <c r="N20" s="429" t="s">
        <v>199</v>
      </c>
      <c r="O20" s="462" t="s">
        <v>301</v>
      </c>
      <c r="P20" s="463" t="s">
        <v>369</v>
      </c>
      <c r="Q20" s="436"/>
      <c r="R20" s="436"/>
      <c r="S20" s="436"/>
      <c r="T20" s="436"/>
      <c r="U20" s="436"/>
      <c r="V20" s="436"/>
      <c r="W20" s="436"/>
      <c r="X20" s="436"/>
      <c r="Y20" s="436"/>
      <c r="Z20" s="436"/>
      <c r="AA20" s="436"/>
      <c r="AB20" s="464">
        <v>600000</v>
      </c>
      <c r="AC20" s="472">
        <v>545762.18000000005</v>
      </c>
      <c r="AD20" s="436">
        <f>AC20*100/AB20</f>
        <v>90.960363333333348</v>
      </c>
      <c r="AE20" s="292" t="s">
        <v>51</v>
      </c>
    </row>
    <row r="21" spans="1:31" ht="23.25">
      <c r="A21" s="309" t="s">
        <v>23</v>
      </c>
      <c r="B21" s="352"/>
      <c r="C21" s="320"/>
      <c r="D21" s="320"/>
      <c r="E21" s="320"/>
      <c r="F21" s="335" t="s">
        <v>70</v>
      </c>
      <c r="G21" s="335" t="s">
        <v>70</v>
      </c>
      <c r="H21" s="531" t="s">
        <v>58</v>
      </c>
      <c r="I21" s="535"/>
      <c r="J21" s="535"/>
      <c r="K21" s="532"/>
      <c r="L21" s="307"/>
      <c r="M21" s="308"/>
      <c r="N21" s="429" t="s">
        <v>237</v>
      </c>
      <c r="O21" s="292">
        <v>25</v>
      </c>
      <c r="P21" s="292">
        <v>1</v>
      </c>
    </row>
    <row r="22" spans="1:31" ht="23.25">
      <c r="A22" s="309" t="s">
        <v>24</v>
      </c>
      <c r="B22" s="352"/>
      <c r="C22" s="320"/>
      <c r="D22" s="320"/>
      <c r="E22" s="320"/>
      <c r="F22" s="335" t="s">
        <v>137</v>
      </c>
      <c r="G22" s="335" t="s">
        <v>138</v>
      </c>
      <c r="H22" s="531" t="s">
        <v>147</v>
      </c>
      <c r="I22" s="535"/>
      <c r="J22" s="535"/>
      <c r="K22" s="532"/>
      <c r="L22" s="307"/>
      <c r="M22" s="308"/>
      <c r="O22" s="562">
        <f>J24-75</f>
        <v>15.960363333333348</v>
      </c>
      <c r="P22" s="292">
        <f>P21*O22/O21</f>
        <v>0.63841453333333387</v>
      </c>
    </row>
    <row r="23" spans="1:31" ht="23.25">
      <c r="A23" s="309"/>
      <c r="B23" s="352"/>
      <c r="C23" s="320"/>
      <c r="D23" s="320"/>
      <c r="E23" s="320"/>
      <c r="F23" s="320"/>
      <c r="G23" s="320"/>
      <c r="H23" s="531" t="s">
        <v>180</v>
      </c>
      <c r="I23" s="535"/>
      <c r="J23" s="535"/>
      <c r="K23" s="532"/>
      <c r="L23" s="307"/>
      <c r="M23" s="308"/>
    </row>
    <row r="24" spans="1:31" ht="23.25">
      <c r="A24" s="309"/>
      <c r="B24" s="352"/>
      <c r="C24" s="320"/>
      <c r="D24" s="320"/>
      <c r="E24" s="320"/>
      <c r="F24" s="320"/>
      <c r="G24" s="311"/>
      <c r="H24" s="531"/>
      <c r="I24" s="323" t="s">
        <v>56</v>
      </c>
      <c r="J24" s="324">
        <f>AD20</f>
        <v>90.960363333333348</v>
      </c>
      <c r="K24" s="532" t="s">
        <v>51</v>
      </c>
      <c r="L24" s="307"/>
      <c r="M24" s="308"/>
    </row>
    <row r="25" spans="1:31" ht="23.25">
      <c r="A25" s="309"/>
      <c r="B25" s="352"/>
      <c r="C25" s="320"/>
      <c r="D25" s="320"/>
      <c r="E25" s="320"/>
      <c r="F25" s="320"/>
      <c r="G25" s="320"/>
      <c r="H25" s="333"/>
      <c r="I25" s="306"/>
      <c r="J25" s="306"/>
      <c r="K25" s="312"/>
      <c r="L25" s="307"/>
      <c r="M25" s="308"/>
    </row>
    <row r="26" spans="1:31" ht="23.25">
      <c r="A26" s="302" t="s">
        <v>181</v>
      </c>
      <c r="B26" s="403">
        <v>4</v>
      </c>
      <c r="C26" s="332">
        <v>0.96</v>
      </c>
      <c r="D26" s="332">
        <v>0.97</v>
      </c>
      <c r="E26" s="332">
        <v>0.98</v>
      </c>
      <c r="F26" s="332">
        <v>0.99</v>
      </c>
      <c r="G26" s="332">
        <v>1</v>
      </c>
      <c r="H26" s="536" t="s">
        <v>148</v>
      </c>
      <c r="I26" s="533"/>
      <c r="J26" s="533"/>
      <c r="K26" s="534"/>
      <c r="L26" s="304">
        <f>4+P29</f>
        <v>4.9957000000000003</v>
      </c>
      <c r="M26" s="305">
        <f>IF(L26=0,"-",ROUND(L26*B26/B$83,4))</f>
        <v>0.31219999999999998</v>
      </c>
      <c r="N26" s="429" t="s">
        <v>331</v>
      </c>
      <c r="P26" s="454" t="s">
        <v>215</v>
      </c>
      <c r="Q26" s="455"/>
      <c r="R26" s="456"/>
      <c r="S26" s="746">
        <v>74685241</v>
      </c>
      <c r="T26" s="746"/>
      <c r="U26" s="580"/>
      <c r="V26" s="580"/>
    </row>
    <row r="27" spans="1:31" ht="23.25">
      <c r="A27" s="309" t="s">
        <v>26</v>
      </c>
      <c r="B27" s="352"/>
      <c r="C27" s="320"/>
      <c r="D27" s="320"/>
      <c r="E27" s="320"/>
      <c r="F27" s="320"/>
      <c r="G27" s="320"/>
      <c r="H27" s="380" t="s">
        <v>149</v>
      </c>
      <c r="I27" s="381"/>
      <c r="J27" s="381"/>
      <c r="K27" s="382"/>
      <c r="L27" s="307"/>
      <c r="M27" s="308"/>
      <c r="N27" s="429" t="s">
        <v>237</v>
      </c>
      <c r="P27" s="447" t="s">
        <v>216</v>
      </c>
      <c r="Q27" s="448"/>
      <c r="R27" s="450"/>
      <c r="S27" s="747">
        <v>74682050</v>
      </c>
      <c r="T27" s="747"/>
      <c r="U27" s="580"/>
      <c r="V27" s="580"/>
    </row>
    <row r="28" spans="1:31" ht="23.25">
      <c r="A28" s="309"/>
      <c r="B28" s="352"/>
      <c r="C28" s="320"/>
      <c r="D28" s="320"/>
      <c r="E28" s="320"/>
      <c r="F28" s="320"/>
      <c r="G28" s="320"/>
      <c r="H28" s="380" t="s">
        <v>75</v>
      </c>
      <c r="I28" s="381"/>
      <c r="J28" s="381"/>
      <c r="K28" s="382"/>
      <c r="L28" s="307"/>
      <c r="M28" s="308"/>
      <c r="O28" s="292">
        <v>1</v>
      </c>
      <c r="P28" s="292">
        <v>1</v>
      </c>
      <c r="S28" s="597">
        <f>S27*100/S26</f>
        <v>99.995727402151658</v>
      </c>
      <c r="T28" s="292" t="s">
        <v>51</v>
      </c>
      <c r="U28" s="580"/>
      <c r="V28" s="580"/>
    </row>
    <row r="29" spans="1:31" ht="23.25">
      <c r="A29" s="309"/>
      <c r="B29" s="352"/>
      <c r="C29" s="320"/>
      <c r="D29" s="320"/>
      <c r="E29" s="320"/>
      <c r="F29" s="320"/>
      <c r="G29" s="320"/>
      <c r="H29" s="380" t="s">
        <v>182</v>
      </c>
      <c r="I29" s="383"/>
      <c r="J29" s="383"/>
      <c r="K29" s="384"/>
      <c r="L29" s="307"/>
      <c r="M29" s="308"/>
      <c r="O29" s="292">
        <v>0.99570000000000003</v>
      </c>
      <c r="P29" s="292">
        <f>P28*O29/O28</f>
        <v>0.99570000000000003</v>
      </c>
      <c r="U29" s="580"/>
      <c r="V29" s="580"/>
    </row>
    <row r="30" spans="1:31" ht="23.25">
      <c r="A30" s="309"/>
      <c r="B30" s="352"/>
      <c r="C30" s="320"/>
      <c r="D30" s="320"/>
      <c r="E30" s="320"/>
      <c r="F30" s="320"/>
      <c r="G30" s="311"/>
      <c r="H30" s="531"/>
      <c r="I30" s="323" t="s">
        <v>56</v>
      </c>
      <c r="J30" s="343">
        <f>S28</f>
        <v>99.995727402151658</v>
      </c>
      <c r="K30" s="532" t="s">
        <v>51</v>
      </c>
      <c r="L30" s="307"/>
      <c r="M30" s="308"/>
      <c r="U30" s="580"/>
      <c r="V30" s="580"/>
    </row>
    <row r="31" spans="1:31" ht="23.25">
      <c r="A31" s="325"/>
      <c r="B31" s="359"/>
      <c r="C31" s="310"/>
      <c r="D31" s="310"/>
      <c r="E31" s="310"/>
      <c r="F31" s="310"/>
      <c r="G31" s="310"/>
      <c r="H31" s="329"/>
      <c r="I31" s="427"/>
      <c r="J31" s="427"/>
      <c r="K31" s="428"/>
      <c r="L31" s="326"/>
      <c r="M31" s="299"/>
    </row>
    <row r="32" spans="1:31" ht="23.25">
      <c r="A32" s="302" t="s">
        <v>183</v>
      </c>
      <c r="B32" s="403">
        <v>4</v>
      </c>
      <c r="C32" s="332">
        <v>0.8</v>
      </c>
      <c r="D32" s="332">
        <v>0.85</v>
      </c>
      <c r="E32" s="332">
        <v>0.9</v>
      </c>
      <c r="F32" s="332">
        <v>0.95</v>
      </c>
      <c r="G32" s="332">
        <v>1</v>
      </c>
      <c r="H32" s="386" t="s">
        <v>150</v>
      </c>
      <c r="I32" s="387"/>
      <c r="J32" s="387"/>
      <c r="K32" s="388"/>
      <c r="L32" s="304">
        <v>5</v>
      </c>
      <c r="M32" s="305">
        <f>IF(L32=0,"-",ROUND(L32*B32/B$83,4))</f>
        <v>0.3125</v>
      </c>
      <c r="N32" s="429" t="s">
        <v>201</v>
      </c>
    </row>
    <row r="33" spans="1:14" ht="23.25">
      <c r="A33" s="309" t="s">
        <v>28</v>
      </c>
      <c r="B33" s="352"/>
      <c r="C33" s="320"/>
      <c r="D33" s="320"/>
      <c r="E33" s="320"/>
      <c r="F33" s="320"/>
      <c r="G33" s="320"/>
      <c r="H33" s="531" t="s">
        <v>154</v>
      </c>
      <c r="I33" s="535"/>
      <c r="J33" s="535"/>
      <c r="K33" s="532"/>
      <c r="L33" s="307"/>
      <c r="M33" s="308"/>
      <c r="N33" s="487" t="s">
        <v>237</v>
      </c>
    </row>
    <row r="34" spans="1:14" ht="23.25">
      <c r="A34" s="309" t="s">
        <v>60</v>
      </c>
      <c r="B34" s="352"/>
      <c r="C34" s="320"/>
      <c r="D34" s="320"/>
      <c r="E34" s="320"/>
      <c r="F34" s="320"/>
      <c r="G34" s="320"/>
      <c r="H34" s="531" t="s">
        <v>64</v>
      </c>
      <c r="I34" s="535"/>
      <c r="J34" s="535"/>
      <c r="K34" s="532"/>
      <c r="L34" s="307"/>
      <c r="M34" s="308"/>
    </row>
    <row r="35" spans="1:14" ht="23.25">
      <c r="A35" s="309"/>
      <c r="B35" s="352"/>
      <c r="C35" s="320"/>
      <c r="D35" s="320"/>
      <c r="E35" s="320"/>
      <c r="F35" s="320"/>
      <c r="G35" s="320"/>
      <c r="H35" s="380" t="s">
        <v>180</v>
      </c>
      <c r="I35" s="323"/>
      <c r="J35" s="322" t="s">
        <v>364</v>
      </c>
      <c r="K35" s="382"/>
      <c r="L35" s="307"/>
      <c r="M35" s="308"/>
    </row>
    <row r="36" spans="1:14" ht="23.25">
      <c r="A36" s="309"/>
      <c r="B36" s="352"/>
      <c r="C36" s="320"/>
      <c r="D36" s="320"/>
      <c r="E36" s="320"/>
      <c r="F36" s="320"/>
      <c r="G36" s="320"/>
      <c r="H36" s="380"/>
      <c r="I36" s="323" t="s">
        <v>66</v>
      </c>
      <c r="J36" s="334">
        <v>2</v>
      </c>
      <c r="K36" s="382" t="s">
        <v>61</v>
      </c>
      <c r="L36" s="307"/>
      <c r="M36" s="308"/>
    </row>
    <row r="37" spans="1:14" ht="23.25">
      <c r="A37" s="309"/>
      <c r="B37" s="352"/>
      <c r="C37" s="320"/>
      <c r="D37" s="320"/>
      <c r="E37" s="320"/>
      <c r="F37" s="320"/>
      <c r="G37" s="320"/>
      <c r="H37" s="380"/>
      <c r="I37" s="323" t="s">
        <v>67</v>
      </c>
      <c r="J37" s="334">
        <v>2</v>
      </c>
      <c r="K37" s="382" t="s">
        <v>61</v>
      </c>
      <c r="L37" s="307"/>
      <c r="M37" s="308"/>
    </row>
    <row r="38" spans="1:14" ht="23.25">
      <c r="A38" s="309"/>
      <c r="B38" s="352"/>
      <c r="C38" s="320"/>
      <c r="D38" s="320"/>
      <c r="E38" s="320"/>
      <c r="F38" s="320"/>
      <c r="G38" s="320"/>
      <c r="H38" s="531"/>
      <c r="I38" s="323" t="s">
        <v>81</v>
      </c>
      <c r="J38" s="334">
        <f>J37*100/J36</f>
        <v>100</v>
      </c>
      <c r="K38" s="532" t="s">
        <v>51</v>
      </c>
      <c r="L38" s="307"/>
      <c r="M38" s="308"/>
    </row>
    <row r="39" spans="1:14" ht="23.25">
      <c r="A39" s="325"/>
      <c r="B39" s="359"/>
      <c r="C39" s="310"/>
      <c r="D39" s="310"/>
      <c r="E39" s="310"/>
      <c r="F39" s="310"/>
      <c r="G39" s="310"/>
      <c r="H39" s="527"/>
      <c r="I39" s="427"/>
      <c r="J39" s="427"/>
      <c r="K39" s="428"/>
      <c r="L39" s="326"/>
      <c r="M39" s="299"/>
    </row>
    <row r="40" spans="1:14" ht="23.25">
      <c r="A40" s="302" t="s">
        <v>184</v>
      </c>
      <c r="B40" s="403">
        <v>4</v>
      </c>
      <c r="C40" s="332">
        <v>0.5</v>
      </c>
      <c r="D40" s="332">
        <v>0.75</v>
      </c>
      <c r="E40" s="332">
        <v>1</v>
      </c>
      <c r="F40" s="332">
        <v>1</v>
      </c>
      <c r="G40" s="332">
        <v>1</v>
      </c>
      <c r="H40" s="536" t="s">
        <v>152</v>
      </c>
      <c r="I40" s="533"/>
      <c r="J40" s="533"/>
      <c r="K40" s="534"/>
      <c r="L40" s="304">
        <v>3</v>
      </c>
      <c r="M40" s="305">
        <f>IF(L40=0,"-",ROUND(L40*B40/B$83,4))</f>
        <v>0.1875</v>
      </c>
      <c r="N40" s="429" t="s">
        <v>332</v>
      </c>
    </row>
    <row r="41" spans="1:14" ht="23.25">
      <c r="A41" s="309" t="s">
        <v>151</v>
      </c>
      <c r="B41" s="406"/>
      <c r="C41" s="335"/>
      <c r="D41" s="335"/>
      <c r="E41" s="335"/>
      <c r="F41" s="335" t="s">
        <v>70</v>
      </c>
      <c r="G41" s="335" t="s">
        <v>70</v>
      </c>
      <c r="H41" s="535" t="s">
        <v>153</v>
      </c>
      <c r="I41" s="535"/>
      <c r="J41" s="535"/>
      <c r="K41" s="532"/>
      <c r="L41" s="307"/>
      <c r="M41" s="308"/>
      <c r="N41" s="487" t="s">
        <v>237</v>
      </c>
    </row>
    <row r="42" spans="1:14" ht="23.25">
      <c r="A42" s="309"/>
      <c r="B42" s="406"/>
      <c r="C42" s="335"/>
      <c r="D42" s="335"/>
      <c r="E42" s="335"/>
      <c r="F42" s="335" t="s">
        <v>137</v>
      </c>
      <c r="G42" s="335" t="s">
        <v>138</v>
      </c>
      <c r="H42" s="535" t="s">
        <v>180</v>
      </c>
      <c r="I42" s="535"/>
      <c r="J42" s="535"/>
      <c r="K42" s="532"/>
      <c r="L42" s="307"/>
      <c r="M42" s="308"/>
    </row>
    <row r="43" spans="1:14" ht="23.25">
      <c r="A43" s="309"/>
      <c r="B43" s="406"/>
      <c r="C43" s="336"/>
      <c r="D43" s="336"/>
      <c r="E43" s="336"/>
      <c r="F43" s="336"/>
      <c r="G43" s="390"/>
      <c r="H43" s="531"/>
      <c r="I43" s="323" t="s">
        <v>56</v>
      </c>
      <c r="J43" s="324">
        <v>75</v>
      </c>
      <c r="K43" s="532" t="s">
        <v>51</v>
      </c>
      <c r="L43" s="307"/>
      <c r="M43" s="308"/>
    </row>
    <row r="44" spans="1:14" ht="23.25">
      <c r="A44" s="325"/>
      <c r="B44" s="359"/>
      <c r="C44" s="310"/>
      <c r="D44" s="310"/>
      <c r="E44" s="310"/>
      <c r="F44" s="310"/>
      <c r="G44" s="310"/>
      <c r="H44" s="527"/>
      <c r="I44" s="528"/>
      <c r="J44" s="528"/>
      <c r="K44" s="529"/>
      <c r="L44" s="326"/>
      <c r="M44" s="299"/>
    </row>
    <row r="45" spans="1:14" ht="23.25">
      <c r="A45" s="302" t="s">
        <v>185</v>
      </c>
      <c r="B45" s="403">
        <v>12</v>
      </c>
      <c r="C45" s="332">
        <v>0.78</v>
      </c>
      <c r="D45" s="332">
        <v>0.81</v>
      </c>
      <c r="E45" s="332">
        <v>0.84</v>
      </c>
      <c r="F45" s="332">
        <v>0.87</v>
      </c>
      <c r="G45" s="332">
        <v>0.9</v>
      </c>
      <c r="H45" s="536" t="s">
        <v>186</v>
      </c>
      <c r="I45" s="533"/>
      <c r="J45" s="533"/>
      <c r="K45" s="534"/>
      <c r="L45" s="304">
        <v>1</v>
      </c>
      <c r="M45" s="305">
        <f>IF(L45=0,"-",ROUND(L45*B45/B$83,4))</f>
        <v>0.1875</v>
      </c>
      <c r="N45" s="429" t="s">
        <v>199</v>
      </c>
    </row>
    <row r="46" spans="1:14" ht="23.25">
      <c r="A46" s="309" t="s">
        <v>85</v>
      </c>
      <c r="B46" s="352"/>
      <c r="C46" s="320"/>
      <c r="D46" s="320"/>
      <c r="E46" s="320"/>
      <c r="F46" s="320"/>
      <c r="G46" s="320"/>
      <c r="H46" s="531" t="s">
        <v>196</v>
      </c>
      <c r="I46" s="535"/>
      <c r="J46" s="535"/>
      <c r="K46" s="532"/>
      <c r="L46" s="307"/>
      <c r="M46" s="308"/>
      <c r="N46" s="487" t="s">
        <v>237</v>
      </c>
    </row>
    <row r="47" spans="1:14" ht="23.25">
      <c r="A47" s="309"/>
      <c r="B47" s="352"/>
      <c r="C47" s="320"/>
      <c r="D47" s="320"/>
      <c r="E47" s="320"/>
      <c r="F47" s="320"/>
      <c r="G47" s="320"/>
      <c r="H47" s="327"/>
      <c r="I47" s="327" t="s">
        <v>87</v>
      </c>
      <c r="J47" s="433">
        <f>118.6*1000000</f>
        <v>118600000</v>
      </c>
      <c r="K47" s="532" t="s">
        <v>187</v>
      </c>
      <c r="L47" s="307"/>
      <c r="M47" s="308"/>
    </row>
    <row r="48" spans="1:14" ht="23.25">
      <c r="A48" s="309"/>
      <c r="B48" s="352"/>
      <c r="C48" s="320"/>
      <c r="D48" s="320"/>
      <c r="E48" s="320"/>
      <c r="F48" s="320"/>
      <c r="G48" s="320"/>
      <c r="H48" s="327"/>
      <c r="I48" s="323" t="s">
        <v>188</v>
      </c>
      <c r="J48" s="434">
        <v>81670000</v>
      </c>
      <c r="K48" s="532" t="s">
        <v>187</v>
      </c>
      <c r="L48" s="307"/>
      <c r="M48" s="308"/>
    </row>
    <row r="49" spans="1:16" ht="23.25">
      <c r="A49" s="309"/>
      <c r="B49" s="352"/>
      <c r="C49" s="320"/>
      <c r="D49" s="320"/>
      <c r="E49" s="320"/>
      <c r="F49" s="320"/>
      <c r="G49" s="320"/>
      <c r="H49" s="327"/>
      <c r="I49" s="323" t="s">
        <v>189</v>
      </c>
      <c r="J49" s="430">
        <f>J48*100/J47</f>
        <v>68.861720067453632</v>
      </c>
      <c r="K49" s="532" t="s">
        <v>51</v>
      </c>
      <c r="L49" s="307"/>
      <c r="M49" s="308"/>
    </row>
    <row r="50" spans="1:16" ht="23.25">
      <c r="A50" s="325"/>
      <c r="B50" s="359"/>
      <c r="C50" s="310"/>
      <c r="D50" s="310"/>
      <c r="E50" s="310"/>
      <c r="F50" s="310"/>
      <c r="G50" s="310"/>
      <c r="H50" s="337"/>
      <c r="I50" s="427"/>
      <c r="J50" s="338"/>
      <c r="K50" s="428"/>
      <c r="L50" s="326"/>
      <c r="M50" s="299"/>
    </row>
    <row r="51" spans="1:16" ht="23.25">
      <c r="A51" s="339" t="s">
        <v>190</v>
      </c>
      <c r="B51" s="407">
        <v>4</v>
      </c>
      <c r="C51" s="340">
        <v>0.65</v>
      </c>
      <c r="D51" s="340">
        <v>0.7</v>
      </c>
      <c r="E51" s="340">
        <v>0.75</v>
      </c>
      <c r="F51" s="340">
        <v>0.8</v>
      </c>
      <c r="G51" s="340">
        <v>0.85</v>
      </c>
      <c r="H51" s="536" t="s">
        <v>156</v>
      </c>
      <c r="I51" s="533"/>
      <c r="J51" s="533"/>
      <c r="K51" s="534"/>
      <c r="L51" s="304">
        <v>1</v>
      </c>
      <c r="M51" s="305">
        <f>IF(L51=0,"-",ROUND(L51*B51/B$83,4))</f>
        <v>6.25E-2</v>
      </c>
      <c r="N51" s="429" t="s">
        <v>340</v>
      </c>
    </row>
    <row r="52" spans="1:16" ht="23.25">
      <c r="A52" s="309" t="s">
        <v>145</v>
      </c>
      <c r="B52" s="352"/>
      <c r="C52" s="320"/>
      <c r="D52" s="320"/>
      <c r="E52" s="320"/>
      <c r="F52" s="320"/>
      <c r="G52" s="320"/>
      <c r="H52" s="531" t="s">
        <v>104</v>
      </c>
      <c r="I52" s="535"/>
      <c r="J52" s="535"/>
      <c r="K52" s="532"/>
      <c r="L52" s="307"/>
      <c r="M52" s="308"/>
      <c r="N52" s="487" t="s">
        <v>237</v>
      </c>
    </row>
    <row r="53" spans="1:16" ht="23.25">
      <c r="A53" s="389" t="s">
        <v>155</v>
      </c>
      <c r="B53" s="352"/>
      <c r="C53" s="320"/>
      <c r="D53" s="320"/>
      <c r="E53" s="320"/>
      <c r="F53" s="320"/>
      <c r="G53" s="320"/>
      <c r="H53" s="531" t="s">
        <v>105</v>
      </c>
      <c r="I53" s="535"/>
      <c r="J53" s="535"/>
      <c r="K53" s="532"/>
      <c r="L53" s="307"/>
      <c r="M53" s="308"/>
    </row>
    <row r="54" spans="1:16" ht="23.25">
      <c r="A54" s="309"/>
      <c r="B54" s="352"/>
      <c r="C54" s="320"/>
      <c r="D54" s="320"/>
      <c r="E54" s="320"/>
      <c r="F54" s="320"/>
      <c r="G54" s="320"/>
      <c r="H54" s="341"/>
      <c r="I54" s="342" t="s">
        <v>113</v>
      </c>
      <c r="J54" s="343" t="s">
        <v>11</v>
      </c>
      <c r="K54" s="532" t="s">
        <v>51</v>
      </c>
      <c r="L54" s="307"/>
      <c r="M54" s="308"/>
    </row>
    <row r="55" spans="1:16" ht="23.25">
      <c r="A55" s="325"/>
      <c r="B55" s="359"/>
      <c r="C55" s="310"/>
      <c r="D55" s="310"/>
      <c r="E55" s="310"/>
      <c r="F55" s="310"/>
      <c r="G55" s="416"/>
      <c r="H55" s="705" t="s">
        <v>211</v>
      </c>
      <c r="I55" s="706"/>
      <c r="J55" s="706"/>
      <c r="K55" s="707"/>
      <c r="L55" s="326"/>
      <c r="M55" s="299"/>
    </row>
    <row r="56" spans="1:16" ht="23.25">
      <c r="A56" s="302" t="s">
        <v>106</v>
      </c>
      <c r="B56" s="407">
        <v>4</v>
      </c>
      <c r="C56" s="346" t="s">
        <v>29</v>
      </c>
      <c r="D56" s="346" t="s">
        <v>30</v>
      </c>
      <c r="E56" s="346" t="s">
        <v>31</v>
      </c>
      <c r="F56" s="346" t="s">
        <v>32</v>
      </c>
      <c r="G56" s="346" t="s">
        <v>33</v>
      </c>
      <c r="H56" s="536" t="s">
        <v>108</v>
      </c>
      <c r="I56" s="533"/>
      <c r="J56" s="533"/>
      <c r="K56" s="534"/>
      <c r="L56" s="304">
        <v>2</v>
      </c>
      <c r="M56" s="305">
        <f>IF(L56=0,"-",ROUND(L56*B56/B$83,4))</f>
        <v>0.125</v>
      </c>
      <c r="N56" s="429" t="s">
        <v>332</v>
      </c>
    </row>
    <row r="57" spans="1:16" ht="23.25">
      <c r="A57" s="309" t="s">
        <v>107</v>
      </c>
      <c r="B57" s="352"/>
      <c r="C57" s="348">
        <v>1.5</v>
      </c>
      <c r="D57" s="348">
        <v>2</v>
      </c>
      <c r="E57" s="348">
        <v>2.5</v>
      </c>
      <c r="F57" s="348">
        <v>3</v>
      </c>
      <c r="G57" s="348">
        <v>5</v>
      </c>
      <c r="H57" s="531" t="s">
        <v>146</v>
      </c>
      <c r="I57" s="535"/>
      <c r="J57" s="535"/>
      <c r="K57" s="532"/>
      <c r="L57" s="307"/>
      <c r="M57" s="308"/>
      <c r="N57" s="487" t="s">
        <v>237</v>
      </c>
    </row>
    <row r="58" spans="1:16" ht="23.25">
      <c r="A58" s="309"/>
      <c r="B58" s="352"/>
      <c r="C58" s="344"/>
      <c r="D58" s="344"/>
      <c r="E58" s="344"/>
      <c r="F58" s="344"/>
      <c r="G58" s="344"/>
      <c r="H58" s="531" t="s">
        <v>110</v>
      </c>
      <c r="I58" s="535"/>
      <c r="J58" s="535"/>
      <c r="K58" s="532"/>
      <c r="L58" s="307"/>
      <c r="M58" s="308"/>
    </row>
    <row r="59" spans="1:16" ht="23.25">
      <c r="A59" s="309"/>
      <c r="B59" s="352"/>
      <c r="C59" s="344"/>
      <c r="D59" s="344"/>
      <c r="E59" s="344"/>
      <c r="F59" s="344"/>
      <c r="G59" s="344"/>
      <c r="H59" s="531" t="s">
        <v>191</v>
      </c>
      <c r="I59" s="535"/>
      <c r="J59" s="535"/>
      <c r="K59" s="532"/>
      <c r="L59" s="307"/>
      <c r="M59" s="308"/>
    </row>
    <row r="60" spans="1:16" ht="23.25">
      <c r="A60" s="309"/>
      <c r="B60" s="352"/>
      <c r="C60" s="344"/>
      <c r="D60" s="344"/>
      <c r="E60" s="344"/>
      <c r="F60" s="344"/>
      <c r="G60" s="344"/>
      <c r="H60" s="531"/>
      <c r="I60" s="323" t="s">
        <v>112</v>
      </c>
      <c r="J60" s="324">
        <v>2</v>
      </c>
      <c r="K60" s="382"/>
      <c r="L60" s="307"/>
      <c r="M60" s="308"/>
    </row>
    <row r="61" spans="1:16" ht="23.25">
      <c r="A61" s="325"/>
      <c r="B61" s="359"/>
      <c r="C61" s="310"/>
      <c r="D61" s="310"/>
      <c r="E61" s="310"/>
      <c r="F61" s="310"/>
      <c r="G61" s="310"/>
      <c r="H61" s="705"/>
      <c r="I61" s="706"/>
      <c r="J61" s="706"/>
      <c r="K61" s="707"/>
      <c r="L61" s="326"/>
      <c r="M61" s="299"/>
    </row>
    <row r="62" spans="1:16" ht="23.25">
      <c r="A62" s="350" t="s">
        <v>132</v>
      </c>
      <c r="B62" s="407">
        <v>4</v>
      </c>
      <c r="C62" s="340">
        <v>0.1</v>
      </c>
      <c r="D62" s="340">
        <v>0.3</v>
      </c>
      <c r="E62" s="340">
        <v>0.5</v>
      </c>
      <c r="F62" s="340">
        <v>0.7</v>
      </c>
      <c r="G62" s="340">
        <v>1</v>
      </c>
      <c r="H62" s="536" t="s">
        <v>123</v>
      </c>
      <c r="I62" s="533"/>
      <c r="J62" s="533"/>
      <c r="K62" s="534"/>
      <c r="L62" s="304">
        <v>5</v>
      </c>
      <c r="M62" s="305">
        <f>IF(L62=0,"-",ROUND(L62*B62/B$83,4))</f>
        <v>0.3125</v>
      </c>
      <c r="N62" s="429" t="s">
        <v>202</v>
      </c>
      <c r="O62" s="292">
        <v>30</v>
      </c>
      <c r="P62" s="292">
        <v>1</v>
      </c>
    </row>
    <row r="63" spans="1:16" ht="23.25">
      <c r="A63" s="351" t="s">
        <v>192</v>
      </c>
      <c r="B63" s="352"/>
      <c r="C63" s="320"/>
      <c r="D63" s="320"/>
      <c r="E63" s="320"/>
      <c r="F63" s="320"/>
      <c r="G63" s="311"/>
      <c r="H63" s="531" t="s">
        <v>124</v>
      </c>
      <c r="I63" s="322"/>
      <c r="J63" s="353"/>
      <c r="K63" s="354"/>
      <c r="L63" s="355"/>
      <c r="M63" s="308"/>
      <c r="N63" s="487" t="s">
        <v>237</v>
      </c>
      <c r="O63" s="292">
        <v>18</v>
      </c>
      <c r="P63" s="292">
        <f>P62*O63/O62</f>
        <v>0.6</v>
      </c>
    </row>
    <row r="64" spans="1:16" ht="23.25">
      <c r="A64" s="351"/>
      <c r="B64" s="352"/>
      <c r="C64" s="320"/>
      <c r="D64" s="320"/>
      <c r="E64" s="320"/>
      <c r="F64" s="320"/>
      <c r="G64" s="320"/>
      <c r="H64" s="535" t="s">
        <v>125</v>
      </c>
      <c r="I64" s="322"/>
      <c r="J64" s="353"/>
      <c r="K64" s="354"/>
      <c r="L64" s="355"/>
      <c r="M64" s="308"/>
    </row>
    <row r="65" spans="1:16" ht="23.25">
      <c r="A65" s="351"/>
      <c r="B65" s="352"/>
      <c r="C65" s="320"/>
      <c r="D65" s="320"/>
      <c r="E65" s="320"/>
      <c r="F65" s="320"/>
      <c r="G65" s="320"/>
      <c r="H65" s="531" t="s">
        <v>126</v>
      </c>
      <c r="I65" s="322"/>
      <c r="J65" s="353"/>
      <c r="K65" s="354"/>
      <c r="L65" s="355"/>
      <c r="M65" s="308"/>
    </row>
    <row r="66" spans="1:16" ht="23.25">
      <c r="A66" s="351"/>
      <c r="B66" s="352"/>
      <c r="C66" s="320"/>
      <c r="D66" s="320"/>
      <c r="E66" s="320"/>
      <c r="F66" s="320"/>
      <c r="G66" s="320"/>
      <c r="H66" s="531" t="s">
        <v>127</v>
      </c>
      <c r="I66" s="322"/>
      <c r="J66" s="353"/>
      <c r="K66" s="354"/>
      <c r="L66" s="355"/>
      <c r="M66" s="308"/>
    </row>
    <row r="67" spans="1:16" ht="23.25">
      <c r="A67" s="351"/>
      <c r="B67" s="352"/>
      <c r="C67" s="320"/>
      <c r="D67" s="320"/>
      <c r="E67" s="320"/>
      <c r="F67" s="320"/>
      <c r="G67" s="320"/>
      <c r="H67" s="531"/>
      <c r="I67" s="323" t="s">
        <v>114</v>
      </c>
      <c r="J67" s="408">
        <v>100</v>
      </c>
      <c r="K67" s="382" t="s">
        <v>51</v>
      </c>
      <c r="L67" s="355"/>
      <c r="M67" s="308"/>
    </row>
    <row r="68" spans="1:16" ht="23.25">
      <c r="A68" s="358"/>
      <c r="B68" s="359"/>
      <c r="C68" s="310"/>
      <c r="D68" s="310"/>
      <c r="E68" s="310"/>
      <c r="F68" s="310"/>
      <c r="G68" s="310"/>
      <c r="H68" s="330"/>
      <c r="I68" s="427"/>
      <c r="J68" s="427"/>
      <c r="K68" s="428"/>
      <c r="L68" s="360"/>
      <c r="M68" s="299"/>
    </row>
    <row r="69" spans="1:16" ht="23.25">
      <c r="A69" s="302" t="s">
        <v>115</v>
      </c>
      <c r="B69" s="407">
        <v>4</v>
      </c>
      <c r="C69" s="361">
        <v>0.8</v>
      </c>
      <c r="D69" s="361">
        <v>0.85</v>
      </c>
      <c r="E69" s="361">
        <v>0.9</v>
      </c>
      <c r="F69" s="361">
        <v>0.95</v>
      </c>
      <c r="G69" s="361">
        <v>1</v>
      </c>
      <c r="H69" s="536" t="s">
        <v>157</v>
      </c>
      <c r="I69" s="533"/>
      <c r="J69" s="533"/>
      <c r="K69" s="534"/>
      <c r="L69" s="304">
        <v>4.9539999999999997</v>
      </c>
      <c r="M69" s="305">
        <f>IF(L69=0,"-",ROUND(L69*B69/B$83,4))</f>
        <v>0.30959999999999999</v>
      </c>
      <c r="N69" s="429" t="s">
        <v>352</v>
      </c>
      <c r="O69" s="292">
        <v>5</v>
      </c>
      <c r="P69" s="292">
        <v>1</v>
      </c>
    </row>
    <row r="70" spans="1:16" ht="23.25">
      <c r="A70" s="309" t="s">
        <v>116</v>
      </c>
      <c r="B70" s="352"/>
      <c r="C70" s="348"/>
      <c r="D70" s="348"/>
      <c r="E70" s="348"/>
      <c r="F70" s="348"/>
      <c r="G70" s="348"/>
      <c r="H70" s="531" t="s">
        <v>158</v>
      </c>
      <c r="I70" s="535"/>
      <c r="J70" s="535"/>
      <c r="K70" s="532"/>
      <c r="L70" s="362"/>
      <c r="M70" s="308"/>
      <c r="N70" s="487" t="s">
        <v>237</v>
      </c>
      <c r="O70" s="292">
        <v>4.7699999999999996</v>
      </c>
      <c r="P70" s="292">
        <f>P69*O70/O69</f>
        <v>0.95399999999999996</v>
      </c>
    </row>
    <row r="71" spans="1:16" ht="23.25">
      <c r="A71" s="309" t="s">
        <v>193</v>
      </c>
      <c r="B71" s="352"/>
      <c r="C71" s="320"/>
      <c r="D71" s="320"/>
      <c r="E71" s="320"/>
      <c r="F71" s="320"/>
      <c r="G71" s="320"/>
      <c r="H71" s="531" t="s">
        <v>197</v>
      </c>
      <c r="I71" s="535"/>
      <c r="J71" s="535"/>
      <c r="K71" s="532"/>
      <c r="L71" s="362"/>
      <c r="M71" s="308"/>
    </row>
    <row r="72" spans="1:16" ht="23.25">
      <c r="A72" s="309"/>
      <c r="B72" s="352"/>
      <c r="C72" s="320"/>
      <c r="D72" s="320"/>
      <c r="E72" s="320"/>
      <c r="F72" s="320"/>
      <c r="G72" s="320"/>
      <c r="H72" s="531" t="s">
        <v>120</v>
      </c>
      <c r="I72" s="535"/>
      <c r="J72" s="535"/>
      <c r="K72" s="532"/>
      <c r="L72" s="362"/>
      <c r="M72" s="308"/>
    </row>
    <row r="73" spans="1:16" ht="23.25">
      <c r="A73" s="309"/>
      <c r="B73" s="352"/>
      <c r="C73" s="320"/>
      <c r="D73" s="320"/>
      <c r="E73" s="320"/>
      <c r="F73" s="320"/>
      <c r="G73" s="320"/>
      <c r="H73" s="531" t="s">
        <v>194</v>
      </c>
      <c r="I73" s="535"/>
      <c r="J73" s="535"/>
      <c r="K73" s="532"/>
      <c r="L73" s="362"/>
      <c r="M73" s="308"/>
    </row>
    <row r="74" spans="1:16" ht="23.25">
      <c r="A74" s="309"/>
      <c r="B74" s="352"/>
      <c r="C74" s="320"/>
      <c r="D74" s="320"/>
      <c r="E74" s="320"/>
      <c r="F74" s="320"/>
      <c r="G74" s="344"/>
      <c r="H74" s="531" t="s">
        <v>195</v>
      </c>
      <c r="I74" s="345"/>
      <c r="J74" s="408">
        <v>99.77</v>
      </c>
      <c r="K74" s="414" t="s">
        <v>51</v>
      </c>
      <c r="L74" s="413"/>
      <c r="M74" s="308"/>
    </row>
    <row r="75" spans="1:16" ht="23.25">
      <c r="A75" s="358"/>
      <c r="B75" s="415"/>
      <c r="C75" s="412"/>
      <c r="D75" s="412"/>
      <c r="E75" s="412"/>
      <c r="F75" s="412"/>
      <c r="G75" s="329"/>
      <c r="H75" s="538"/>
      <c r="I75" s="418"/>
      <c r="J75" s="419"/>
      <c r="K75" s="417"/>
      <c r="L75" s="420"/>
      <c r="M75" s="308"/>
    </row>
    <row r="76" spans="1:16" ht="23.25">
      <c r="A76" s="351" t="s">
        <v>316</v>
      </c>
      <c r="B76" s="543">
        <v>4</v>
      </c>
      <c r="C76" s="544">
        <v>0.4</v>
      </c>
      <c r="D76" s="544">
        <v>0.45</v>
      </c>
      <c r="E76" s="544">
        <v>0.5</v>
      </c>
      <c r="F76" s="544">
        <v>0.55000000000000004</v>
      </c>
      <c r="G76" s="544">
        <v>0.6</v>
      </c>
      <c r="H76" s="531" t="s">
        <v>317</v>
      </c>
      <c r="I76" s="345"/>
      <c r="J76" s="545"/>
      <c r="K76" s="546"/>
      <c r="L76" s="413">
        <v>4</v>
      </c>
      <c r="M76" s="305">
        <f>IF(L76=0,"-",ROUND(L76*B76/B$83,4))</f>
        <v>0.25</v>
      </c>
      <c r="N76" s="429" t="s">
        <v>332</v>
      </c>
    </row>
    <row r="77" spans="1:16" ht="23.25">
      <c r="A77" s="351" t="s">
        <v>318</v>
      </c>
      <c r="B77" s="406"/>
      <c r="C77" s="311"/>
      <c r="D77" s="311"/>
      <c r="E77" s="311"/>
      <c r="F77" s="311"/>
      <c r="G77" s="333"/>
      <c r="H77" s="531" t="s">
        <v>319</v>
      </c>
      <c r="I77" s="345"/>
      <c r="J77" s="545"/>
      <c r="K77" s="546"/>
      <c r="L77" s="413"/>
      <c r="M77" s="308"/>
      <c r="N77" s="487" t="s">
        <v>237</v>
      </c>
    </row>
    <row r="78" spans="1:16" ht="23.25">
      <c r="A78" s="351"/>
      <c r="B78" s="406"/>
      <c r="C78" s="311"/>
      <c r="D78" s="311"/>
      <c r="E78" s="311"/>
      <c r="F78" s="311"/>
      <c r="G78" s="333"/>
      <c r="H78" s="531"/>
      <c r="I78" s="345"/>
      <c r="J78" s="545"/>
      <c r="K78" s="546"/>
      <c r="L78" s="413"/>
      <c r="M78" s="308"/>
    </row>
    <row r="79" spans="1:16" ht="23.25">
      <c r="A79" s="351"/>
      <c r="B79" s="406"/>
      <c r="C79" s="311"/>
      <c r="D79" s="311"/>
      <c r="E79" s="311"/>
      <c r="F79" s="311"/>
      <c r="G79" s="333"/>
      <c r="H79" s="531"/>
      <c r="I79" s="345" t="s">
        <v>174</v>
      </c>
      <c r="J79" s="547">
        <v>55</v>
      </c>
      <c r="K79" s="414" t="s">
        <v>51</v>
      </c>
      <c r="L79" s="413"/>
      <c r="M79" s="308"/>
    </row>
    <row r="80" spans="1:16" ht="23.25">
      <c r="A80" s="351"/>
      <c r="B80" s="406"/>
      <c r="C80" s="311"/>
      <c r="D80" s="311"/>
      <c r="E80" s="311"/>
      <c r="F80" s="311"/>
      <c r="G80" s="333"/>
      <c r="H80" s="531"/>
      <c r="I80" s="345"/>
      <c r="J80" s="545"/>
      <c r="K80" s="546"/>
      <c r="L80" s="413"/>
      <c r="M80" s="308"/>
    </row>
    <row r="81" spans="1:13" ht="23.25">
      <c r="A81" s="351"/>
      <c r="B81" s="406"/>
      <c r="C81" s="311"/>
      <c r="D81" s="311"/>
      <c r="E81" s="311"/>
      <c r="F81" s="311"/>
      <c r="G81" s="333"/>
      <c r="H81" s="531"/>
      <c r="I81" s="345"/>
      <c r="J81" s="545"/>
      <c r="K81" s="546"/>
      <c r="L81" s="413"/>
      <c r="M81" s="308"/>
    </row>
    <row r="82" spans="1:13" ht="23.25">
      <c r="A82" s="358"/>
      <c r="B82" s="415"/>
      <c r="C82" s="412"/>
      <c r="D82" s="412"/>
      <c r="E82" s="412"/>
      <c r="F82" s="412"/>
      <c r="G82" s="416"/>
      <c r="H82" s="538"/>
      <c r="I82" s="345"/>
      <c r="J82" s="545"/>
      <c r="K82" s="417"/>
      <c r="L82" s="413"/>
      <c r="M82" s="308"/>
    </row>
    <row r="83" spans="1:13" ht="26.25">
      <c r="A83" s="363"/>
      <c r="B83" s="409">
        <f>ROUND(SUM(B6:B82),1)</f>
        <v>64</v>
      </c>
      <c r="C83" s="364"/>
      <c r="D83" s="364"/>
      <c r="E83" s="364"/>
      <c r="F83" s="364"/>
      <c r="G83" s="365"/>
      <c r="H83" s="364"/>
      <c r="I83" s="364"/>
      <c r="J83" s="364"/>
      <c r="K83" s="364"/>
      <c r="L83" s="366" t="s">
        <v>139</v>
      </c>
      <c r="M83" s="410">
        <f>(SUM(M6:M82))</f>
        <v>2.9384999999999999</v>
      </c>
    </row>
  </sheetData>
  <mergeCells count="22">
    <mergeCell ref="T12:U12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  <mergeCell ref="S26:T26"/>
    <mergeCell ref="S27:T27"/>
    <mergeCell ref="H55:K55"/>
    <mergeCell ref="H61:K61"/>
    <mergeCell ref="H13:K13"/>
    <mergeCell ref="T13:U13"/>
    <mergeCell ref="H14:K14"/>
    <mergeCell ref="T14:U14"/>
    <mergeCell ref="H15:K15"/>
    <mergeCell ref="H20:K20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31" max="12" man="1"/>
    <brk id="55" max="12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B82"/>
  <sheetViews>
    <sheetView view="pageBreakPreview" topLeftCell="A2" zoomScaleNormal="90" zoomScaleSheetLayoutView="100" zoomScalePageLayoutView="50" workbookViewId="0">
      <selection activeCell="H26" sqref="H26:K26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65.28515625" style="292" bestFit="1" customWidth="1"/>
    <col min="16" max="16" width="7.140625" style="292" bestFit="1" customWidth="1"/>
    <col min="17" max="18" width="15" style="292" bestFit="1" customWidth="1"/>
    <col min="19" max="19" width="9.140625" style="292"/>
    <col min="20" max="21" width="15" style="292" bestFit="1" customWidth="1"/>
    <col min="22" max="16384" width="9.140625" style="292"/>
  </cols>
  <sheetData>
    <row r="1" spans="1:28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28" ht="24" customHeight="1">
      <c r="A2" s="710" t="s">
        <v>370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28" ht="24" customHeight="1">
      <c r="A3" s="293" t="s">
        <v>371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</row>
    <row r="5" spans="1:28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34"/>
      <c r="I5" s="735"/>
      <c r="J5" s="735"/>
      <c r="K5" s="736"/>
      <c r="L5" s="719"/>
      <c r="M5" s="301" t="s">
        <v>9</v>
      </c>
    </row>
    <row r="6" spans="1:28" ht="24" customHeight="1">
      <c r="A6" s="302" t="s">
        <v>165</v>
      </c>
      <c r="B6" s="391">
        <v>12</v>
      </c>
      <c r="C6" s="313">
        <v>2971</v>
      </c>
      <c r="D6" s="313">
        <v>3057</v>
      </c>
      <c r="E6" s="313">
        <v>3143</v>
      </c>
      <c r="F6" s="313">
        <v>3229</v>
      </c>
      <c r="G6" s="313">
        <v>3314</v>
      </c>
      <c r="H6" s="751" t="s">
        <v>14</v>
      </c>
      <c r="I6" s="752"/>
      <c r="J6" s="754" t="s">
        <v>15</v>
      </c>
      <c r="K6" s="755"/>
      <c r="L6" s="304">
        <v>1</v>
      </c>
      <c r="M6" s="305">
        <f>IF(L6=0,"-",ROUND(L6*B6/B$82,4))</f>
        <v>0.15</v>
      </c>
      <c r="N6" s="429" t="s">
        <v>372</v>
      </c>
    </row>
    <row r="7" spans="1:28" ht="24" customHeight="1">
      <c r="A7" s="309" t="s">
        <v>166</v>
      </c>
      <c r="B7" s="399"/>
      <c r="C7" s="316" t="s">
        <v>38</v>
      </c>
      <c r="D7" s="316" t="s">
        <v>38</v>
      </c>
      <c r="E7" s="316" t="s">
        <v>39</v>
      </c>
      <c r="F7" s="316" t="s">
        <v>38</v>
      </c>
      <c r="G7" s="316" t="s">
        <v>38</v>
      </c>
      <c r="H7" s="753"/>
      <c r="I7" s="727"/>
      <c r="J7" s="530" t="s">
        <v>17</v>
      </c>
      <c r="K7" s="530" t="s">
        <v>18</v>
      </c>
      <c r="L7" s="307"/>
      <c r="M7" s="308"/>
      <c r="N7" s="429" t="s">
        <v>237</v>
      </c>
      <c r="O7" s="435"/>
      <c r="P7" s="598"/>
      <c r="Q7" s="315"/>
    </row>
    <row r="8" spans="1:28" ht="24" customHeight="1">
      <c r="A8" s="309"/>
      <c r="B8" s="399"/>
      <c r="C8" s="320"/>
      <c r="D8" s="320"/>
      <c r="E8" s="320"/>
      <c r="F8" s="320"/>
      <c r="G8" s="320"/>
      <c r="H8" s="531" t="s">
        <v>167</v>
      </c>
      <c r="I8" s="532"/>
      <c r="J8" s="400">
        <v>3500</v>
      </c>
      <c r="K8" s="431" t="s">
        <v>11</v>
      </c>
      <c r="L8" s="307"/>
      <c r="M8" s="308"/>
      <c r="N8" s="429"/>
      <c r="O8" s="575"/>
      <c r="P8" s="598"/>
      <c r="Q8" s="315"/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</row>
    <row r="9" spans="1:28" ht="24" customHeight="1">
      <c r="A9" s="309"/>
      <c r="B9" s="399"/>
      <c r="C9" s="320"/>
      <c r="D9" s="320"/>
      <c r="E9" s="320"/>
      <c r="F9" s="320"/>
      <c r="G9" s="320"/>
      <c r="H9" s="720" t="s">
        <v>168</v>
      </c>
      <c r="I9" s="721"/>
      <c r="J9" s="400"/>
      <c r="K9" s="321"/>
      <c r="L9" s="307"/>
      <c r="M9" s="308"/>
      <c r="N9" s="429"/>
      <c r="O9" s="575"/>
      <c r="P9" s="598"/>
      <c r="Q9" s="315"/>
      <c r="R9" s="356"/>
      <c r="S9" s="356"/>
      <c r="T9" s="356"/>
      <c r="U9" s="356"/>
      <c r="V9" s="356"/>
      <c r="W9" s="356"/>
      <c r="X9" s="356"/>
      <c r="Y9" s="356"/>
      <c r="Z9" s="356"/>
      <c r="AA9" s="356"/>
      <c r="AB9" s="356"/>
    </row>
    <row r="10" spans="1:28" ht="24" customHeight="1">
      <c r="A10" s="309"/>
      <c r="B10" s="399"/>
      <c r="C10" s="320"/>
      <c r="D10" s="320"/>
      <c r="E10" s="320"/>
      <c r="F10" s="320"/>
      <c r="G10" s="320"/>
      <c r="H10" s="732"/>
      <c r="I10" s="733"/>
      <c r="J10" s="400"/>
      <c r="K10" s="321"/>
      <c r="L10" s="307"/>
      <c r="M10" s="308"/>
      <c r="N10" s="429"/>
      <c r="O10" s="435"/>
      <c r="P10" s="598"/>
      <c r="Q10" s="315"/>
      <c r="R10" s="580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</row>
    <row r="11" spans="1:28" ht="24" customHeight="1" thickBot="1">
      <c r="A11" s="309"/>
      <c r="B11" s="399"/>
      <c r="C11" s="320"/>
      <c r="D11" s="320"/>
      <c r="E11" s="320"/>
      <c r="F11" s="320"/>
      <c r="G11" s="320"/>
      <c r="H11" s="749" t="s">
        <v>20</v>
      </c>
      <c r="I11" s="750"/>
      <c r="J11" s="401">
        <f>SUM(J8:J10)</f>
        <v>3500</v>
      </c>
      <c r="K11" s="432" t="s">
        <v>11</v>
      </c>
      <c r="L11" s="307"/>
      <c r="M11" s="308"/>
      <c r="N11" s="429"/>
      <c r="O11" s="435"/>
      <c r="P11" s="598"/>
      <c r="Q11" s="315"/>
      <c r="R11" s="580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</row>
    <row r="12" spans="1:28" ht="24" customHeight="1" thickTop="1">
      <c r="A12" s="302" t="s">
        <v>169</v>
      </c>
      <c r="B12" s="391">
        <v>4</v>
      </c>
      <c r="C12" s="303">
        <v>0.65</v>
      </c>
      <c r="D12" s="303">
        <v>0.7</v>
      </c>
      <c r="E12" s="303">
        <v>0.75</v>
      </c>
      <c r="F12" s="303">
        <v>0.8</v>
      </c>
      <c r="G12" s="303">
        <v>0.85</v>
      </c>
      <c r="H12" s="726" t="s">
        <v>141</v>
      </c>
      <c r="I12" s="722"/>
      <c r="J12" s="722"/>
      <c r="K12" s="723"/>
      <c r="L12" s="304">
        <v>1</v>
      </c>
      <c r="M12" s="305">
        <f>IF(L12=0,"-",ROUND(L12*B12/B$82,4))</f>
        <v>0.05</v>
      </c>
      <c r="N12" s="429" t="s">
        <v>340</v>
      </c>
      <c r="Q12" s="580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</row>
    <row r="13" spans="1:28" ht="24" customHeight="1">
      <c r="A13" s="309" t="s">
        <v>44</v>
      </c>
      <c r="B13" s="399"/>
      <c r="C13" s="320"/>
      <c r="D13" s="320"/>
      <c r="E13" s="320"/>
      <c r="F13" s="320"/>
      <c r="G13" s="320"/>
      <c r="H13" s="720" t="s">
        <v>142</v>
      </c>
      <c r="I13" s="724"/>
      <c r="J13" s="724"/>
      <c r="K13" s="721"/>
      <c r="L13" s="307"/>
      <c r="M13" s="308"/>
      <c r="N13" s="429" t="s">
        <v>237</v>
      </c>
      <c r="Q13" s="580"/>
      <c r="R13" s="580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</row>
    <row r="14" spans="1:28" ht="24" customHeight="1">
      <c r="A14" s="309"/>
      <c r="B14" s="399"/>
      <c r="C14" s="320"/>
      <c r="D14" s="320"/>
      <c r="E14" s="320"/>
      <c r="F14" s="320"/>
      <c r="G14" s="320"/>
      <c r="H14" s="720" t="s">
        <v>143</v>
      </c>
      <c r="I14" s="724"/>
      <c r="J14" s="724"/>
      <c r="K14" s="721"/>
      <c r="L14" s="307"/>
      <c r="M14" s="308"/>
      <c r="N14" s="429"/>
    </row>
    <row r="15" spans="1:28" ht="23.25">
      <c r="A15" s="309"/>
      <c r="B15" s="399"/>
      <c r="C15" s="320"/>
      <c r="D15" s="320"/>
      <c r="E15" s="320"/>
      <c r="F15" s="320"/>
      <c r="G15" s="320"/>
      <c r="H15" s="720" t="s">
        <v>144</v>
      </c>
      <c r="I15" s="724"/>
      <c r="J15" s="724"/>
      <c r="K15" s="721"/>
      <c r="L15" s="307"/>
      <c r="M15" s="308"/>
      <c r="N15" s="429"/>
    </row>
    <row r="16" spans="1:28" ht="23.25">
      <c r="A16" s="309"/>
      <c r="B16" s="399"/>
      <c r="C16" s="320"/>
      <c r="D16" s="320"/>
      <c r="E16" s="320"/>
      <c r="F16" s="320"/>
      <c r="G16" s="320"/>
      <c r="H16" s="720" t="s">
        <v>170</v>
      </c>
      <c r="I16" s="724"/>
      <c r="J16" s="724"/>
      <c r="K16" s="721"/>
      <c r="L16" s="307"/>
      <c r="M16" s="308"/>
      <c r="N16" s="429"/>
    </row>
    <row r="17" spans="1:23" ht="23.25">
      <c r="A17" s="309"/>
      <c r="B17" s="399"/>
      <c r="C17" s="320"/>
      <c r="D17" s="320"/>
      <c r="E17" s="320"/>
      <c r="F17" s="320"/>
      <c r="G17" s="320"/>
      <c r="I17" s="323" t="s">
        <v>54</v>
      </c>
      <c r="J17" s="324" t="s">
        <v>11</v>
      </c>
      <c r="K17" s="532" t="s">
        <v>51</v>
      </c>
      <c r="L17" s="307"/>
      <c r="M17" s="308"/>
      <c r="N17" s="429"/>
    </row>
    <row r="18" spans="1:23" ht="23.25">
      <c r="A18" s="325"/>
      <c r="B18" s="402"/>
      <c r="C18" s="310"/>
      <c r="D18" s="310"/>
      <c r="E18" s="310"/>
      <c r="F18" s="310"/>
      <c r="G18" s="310"/>
      <c r="H18" s="705" t="s">
        <v>212</v>
      </c>
      <c r="I18" s="706"/>
      <c r="J18" s="706"/>
      <c r="K18" s="707"/>
      <c r="L18" s="326"/>
      <c r="M18" s="299"/>
      <c r="N18" s="429"/>
      <c r="Q18" s="530" t="s">
        <v>324</v>
      </c>
      <c r="R18" s="530" t="s">
        <v>240</v>
      </c>
      <c r="T18" s="445"/>
      <c r="U18" s="445"/>
      <c r="V18" s="445"/>
    </row>
    <row r="19" spans="1:23" ht="23.25">
      <c r="A19" s="302" t="s">
        <v>53</v>
      </c>
      <c r="B19" s="403">
        <v>12</v>
      </c>
      <c r="C19" s="303">
        <v>0.6</v>
      </c>
      <c r="D19" s="303">
        <v>0.7</v>
      </c>
      <c r="E19" s="303">
        <v>0.8</v>
      </c>
      <c r="F19" s="303">
        <v>0.9</v>
      </c>
      <c r="G19" s="303">
        <v>1</v>
      </c>
      <c r="H19" s="722" t="s">
        <v>171</v>
      </c>
      <c r="I19" s="722"/>
      <c r="J19" s="722"/>
      <c r="K19" s="723"/>
      <c r="L19" s="304">
        <f>1+O24</f>
        <v>1.4885622428084517</v>
      </c>
      <c r="M19" s="305">
        <f>IF(L19=0,"-",ROUND(L19*B19/B$82,4))</f>
        <v>0.2233</v>
      </c>
      <c r="N19" s="429" t="s">
        <v>199</v>
      </c>
      <c r="O19" s="436" t="s">
        <v>373</v>
      </c>
      <c r="Q19" s="457">
        <v>249419650</v>
      </c>
      <c r="R19" s="596">
        <v>72.959999999999994</v>
      </c>
      <c r="S19" s="292" t="s">
        <v>51</v>
      </c>
      <c r="T19" s="560"/>
      <c r="U19" s="561"/>
      <c r="V19" s="446"/>
    </row>
    <row r="20" spans="1:23" ht="23.25">
      <c r="A20" s="309" t="s">
        <v>21</v>
      </c>
      <c r="B20" s="352"/>
      <c r="C20" s="320"/>
      <c r="D20" s="320"/>
      <c r="E20" s="320"/>
      <c r="F20" s="320"/>
      <c r="G20" s="320"/>
      <c r="H20" s="720" t="s">
        <v>83</v>
      </c>
      <c r="I20" s="724"/>
      <c r="J20" s="724"/>
      <c r="K20" s="721"/>
      <c r="L20" s="307"/>
      <c r="M20" s="308"/>
      <c r="N20" s="429" t="s">
        <v>237</v>
      </c>
      <c r="O20" s="436" t="s">
        <v>374</v>
      </c>
      <c r="Q20" s="457">
        <v>127313700</v>
      </c>
      <c r="R20" s="596">
        <v>49.15</v>
      </c>
      <c r="S20" s="292" t="s">
        <v>51</v>
      </c>
      <c r="T20" s="560"/>
      <c r="U20" s="561"/>
      <c r="V20" s="446"/>
    </row>
    <row r="21" spans="1:23" ht="23.25">
      <c r="A21" s="309"/>
      <c r="B21" s="352"/>
      <c r="C21" s="320"/>
      <c r="D21" s="320"/>
      <c r="E21" s="320"/>
      <c r="F21" s="320"/>
      <c r="G21" s="320"/>
      <c r="H21" s="720" t="s">
        <v>172</v>
      </c>
      <c r="I21" s="724"/>
      <c r="J21" s="724"/>
      <c r="K21" s="721"/>
      <c r="L21" s="307"/>
      <c r="M21" s="308"/>
      <c r="N21" s="429"/>
      <c r="O21" s="436" t="s">
        <v>375</v>
      </c>
      <c r="Q21" s="457">
        <v>23151000</v>
      </c>
      <c r="R21" s="596">
        <v>64.430000000000007</v>
      </c>
      <c r="S21" s="292" t="s">
        <v>51</v>
      </c>
      <c r="T21" s="560"/>
      <c r="U21" s="561"/>
      <c r="V21" s="446"/>
    </row>
    <row r="22" spans="1:23" ht="23.25">
      <c r="A22" s="309"/>
      <c r="B22" s="352"/>
      <c r="C22" s="320"/>
      <c r="D22" s="320"/>
      <c r="E22" s="320"/>
      <c r="F22" s="320"/>
      <c r="G22" s="320"/>
      <c r="H22" s="380" t="s">
        <v>173</v>
      </c>
      <c r="I22" s="323"/>
      <c r="J22" s="328"/>
      <c r="K22" s="532"/>
      <c r="L22" s="307"/>
      <c r="M22" s="308"/>
      <c r="N22" s="429"/>
      <c r="O22" s="436" t="s">
        <v>376</v>
      </c>
      <c r="Q22" s="457">
        <v>188867200</v>
      </c>
      <c r="R22" s="596">
        <v>0</v>
      </c>
      <c r="S22" s="292" t="s">
        <v>51</v>
      </c>
      <c r="T22" s="560"/>
      <c r="U22" s="561"/>
      <c r="V22" s="446"/>
    </row>
    <row r="23" spans="1:23" ht="23.25">
      <c r="A23" s="309"/>
      <c r="B23" s="352"/>
      <c r="C23" s="320"/>
      <c r="D23" s="320"/>
      <c r="E23" s="320"/>
      <c r="F23" s="320"/>
      <c r="G23" s="320"/>
      <c r="H23" s="380"/>
      <c r="I23" s="323"/>
      <c r="J23" s="328"/>
      <c r="K23" s="532"/>
      <c r="L23" s="307"/>
      <c r="M23" s="308"/>
      <c r="N23" s="496">
        <v>10</v>
      </c>
      <c r="O23" s="599">
        <v>1</v>
      </c>
      <c r="P23" s="292" t="s">
        <v>349</v>
      </c>
      <c r="Q23" s="451">
        <f>Q21+Q20+Q19</f>
        <v>399884350</v>
      </c>
      <c r="R23" s="580"/>
    </row>
    <row r="24" spans="1:23" ht="23.25">
      <c r="A24" s="309"/>
      <c r="B24" s="352"/>
      <c r="C24" s="320"/>
      <c r="D24" s="320"/>
      <c r="E24" s="320"/>
      <c r="F24" s="320"/>
      <c r="G24" s="320"/>
      <c r="H24" s="380"/>
      <c r="I24" s="323" t="s">
        <v>174</v>
      </c>
      <c r="J24" s="570">
        <f>Q24</f>
        <v>64.885622428084517</v>
      </c>
      <c r="K24" s="532" t="s">
        <v>51</v>
      </c>
      <c r="L24" s="307"/>
      <c r="M24" s="308"/>
      <c r="N24" s="600">
        <f>J24-60</f>
        <v>4.8856224280845169</v>
      </c>
      <c r="O24" s="599">
        <f>O23*N24/N23</f>
        <v>0.48856224280845167</v>
      </c>
      <c r="Q24" s="601">
        <f>((R19*Q19)+(R20*Q20)+(R21*Q21)+(R22*Q22))/Q23</f>
        <v>64.885622428084517</v>
      </c>
      <c r="R24" s="292" t="s">
        <v>51</v>
      </c>
      <c r="T24" s="445"/>
      <c r="U24" s="445"/>
      <c r="V24" s="445"/>
      <c r="W24" s="445"/>
    </row>
    <row r="25" spans="1:23" ht="23.25">
      <c r="A25" s="325"/>
      <c r="B25" s="359"/>
      <c r="C25" s="310"/>
      <c r="D25" s="310"/>
      <c r="E25" s="310"/>
      <c r="F25" s="310"/>
      <c r="G25" s="310"/>
      <c r="H25" s="329"/>
      <c r="I25" s="330"/>
      <c r="J25" s="404"/>
      <c r="K25" s="331"/>
      <c r="L25" s="326"/>
      <c r="M25" s="299"/>
      <c r="N25" s="429"/>
      <c r="Q25" s="530" t="s">
        <v>324</v>
      </c>
      <c r="R25" s="530" t="s">
        <v>240</v>
      </c>
      <c r="T25" s="445"/>
      <c r="U25" s="445"/>
      <c r="V25" s="445"/>
      <c r="W25" s="445"/>
    </row>
    <row r="26" spans="1:23" ht="23.25">
      <c r="A26" s="302" t="s">
        <v>175</v>
      </c>
      <c r="B26" s="403">
        <v>12</v>
      </c>
      <c r="C26" s="303">
        <v>0.6</v>
      </c>
      <c r="D26" s="303">
        <v>0.7</v>
      </c>
      <c r="E26" s="303">
        <v>0.8</v>
      </c>
      <c r="F26" s="303">
        <v>0.9</v>
      </c>
      <c r="G26" s="303">
        <v>1</v>
      </c>
      <c r="H26" s="726" t="s">
        <v>176</v>
      </c>
      <c r="I26" s="722"/>
      <c r="J26" s="722"/>
      <c r="K26" s="723"/>
      <c r="L26" s="304">
        <v>1</v>
      </c>
      <c r="M26" s="305">
        <f>IF(L26=0,"-",ROUND(L26*B26/B$82,4))</f>
        <v>0.15</v>
      </c>
      <c r="N26" s="429" t="s">
        <v>199</v>
      </c>
      <c r="O26" s="292" t="s">
        <v>377</v>
      </c>
      <c r="Q26" s="602">
        <v>21675000</v>
      </c>
      <c r="R26" s="577">
        <f>R21</f>
        <v>64.430000000000007</v>
      </c>
      <c r="T26" s="446"/>
      <c r="U26" s="569"/>
      <c r="V26" s="446"/>
      <c r="W26" s="445"/>
    </row>
    <row r="27" spans="1:23" ht="23.25">
      <c r="A27" s="309" t="s">
        <v>177</v>
      </c>
      <c r="B27" s="352"/>
      <c r="C27" s="320"/>
      <c r="D27" s="320"/>
      <c r="E27" s="320"/>
      <c r="F27" s="320"/>
      <c r="G27" s="320"/>
      <c r="H27" s="405" t="s">
        <v>178</v>
      </c>
      <c r="L27" s="307"/>
      <c r="M27" s="308"/>
      <c r="N27" s="429" t="s">
        <v>237</v>
      </c>
      <c r="O27" s="292" t="s">
        <v>378</v>
      </c>
      <c r="Q27" s="602">
        <v>100332000</v>
      </c>
      <c r="R27" s="577">
        <f>R22</f>
        <v>0</v>
      </c>
      <c r="T27" s="446"/>
      <c r="U27" s="569"/>
      <c r="V27" s="446"/>
      <c r="W27" s="445"/>
    </row>
    <row r="28" spans="1:23" ht="23.25">
      <c r="A28" s="309"/>
      <c r="B28" s="352"/>
      <c r="C28" s="320"/>
      <c r="D28" s="320"/>
      <c r="E28" s="320"/>
      <c r="F28" s="320"/>
      <c r="G28" s="320"/>
      <c r="H28" s="720" t="s">
        <v>83</v>
      </c>
      <c r="I28" s="724"/>
      <c r="J28" s="724"/>
      <c r="K28" s="721"/>
      <c r="L28" s="307"/>
      <c r="M28" s="308"/>
      <c r="P28" s="292" t="s">
        <v>349</v>
      </c>
      <c r="Q28" s="451">
        <f>Q26+Q27</f>
        <v>122007000</v>
      </c>
      <c r="R28" s="580">
        <f>SUM(R26:R27)</f>
        <v>64.430000000000007</v>
      </c>
      <c r="T28" s="445"/>
      <c r="U28" s="445"/>
      <c r="V28" s="445"/>
      <c r="W28" s="445"/>
    </row>
    <row r="29" spans="1:23" ht="23.25">
      <c r="A29" s="309"/>
      <c r="B29" s="352"/>
      <c r="C29" s="320"/>
      <c r="D29" s="320"/>
      <c r="E29" s="320"/>
      <c r="F29" s="320"/>
      <c r="G29" s="320"/>
      <c r="H29" s="531" t="s">
        <v>172</v>
      </c>
      <c r="I29" s="535"/>
      <c r="J29" s="535"/>
      <c r="K29" s="532"/>
      <c r="L29" s="307"/>
      <c r="M29" s="308"/>
      <c r="Q29" s="436">
        <f>((Q26*R26)+(Q27*R27))/Q28</f>
        <v>11.446230544149108</v>
      </c>
      <c r="R29" s="292" t="s">
        <v>51</v>
      </c>
    </row>
    <row r="30" spans="1:23" ht="23.25">
      <c r="A30" s="309"/>
      <c r="B30" s="352"/>
      <c r="C30" s="320"/>
      <c r="D30" s="320"/>
      <c r="E30" s="320"/>
      <c r="F30" s="320"/>
      <c r="G30" s="320"/>
      <c r="H30" s="380" t="s">
        <v>173</v>
      </c>
      <c r="I30" s="323"/>
      <c r="J30" s="328"/>
      <c r="K30" s="532"/>
      <c r="L30" s="307"/>
      <c r="M30" s="308"/>
    </row>
    <row r="31" spans="1:23" ht="23.25">
      <c r="A31" s="309"/>
      <c r="B31" s="352"/>
      <c r="C31" s="320"/>
      <c r="D31" s="320"/>
      <c r="E31" s="320"/>
      <c r="F31" s="320"/>
      <c r="G31" s="320"/>
      <c r="H31" s="380"/>
      <c r="I31" s="323" t="s">
        <v>174</v>
      </c>
      <c r="J31" s="570">
        <f>Q29</f>
        <v>11.446230544149108</v>
      </c>
      <c r="K31" s="532" t="s">
        <v>51</v>
      </c>
      <c r="L31" s="307"/>
      <c r="M31" s="308"/>
    </row>
    <row r="32" spans="1:23" ht="23.25">
      <c r="A32" s="325"/>
      <c r="B32" s="359"/>
      <c r="C32" s="310"/>
      <c r="D32" s="310"/>
      <c r="E32" s="310"/>
      <c r="F32" s="310"/>
      <c r="G32" s="310"/>
      <c r="H32" s="329"/>
      <c r="I32" s="330"/>
      <c r="J32" s="404"/>
      <c r="K32" s="331"/>
      <c r="L32" s="326"/>
      <c r="M32" s="299"/>
    </row>
    <row r="33" spans="1:19" ht="25.5">
      <c r="A33" s="302" t="s">
        <v>179</v>
      </c>
      <c r="B33" s="403">
        <v>4</v>
      </c>
      <c r="C33" s="332">
        <v>0.5</v>
      </c>
      <c r="D33" s="332">
        <v>0.75</v>
      </c>
      <c r="E33" s="332">
        <v>1</v>
      </c>
      <c r="F33" s="332">
        <v>1</v>
      </c>
      <c r="G33" s="332">
        <v>1</v>
      </c>
      <c r="H33" s="726" t="s">
        <v>57</v>
      </c>
      <c r="I33" s="722"/>
      <c r="J33" s="722"/>
      <c r="K33" s="723"/>
      <c r="L33" s="304">
        <v>2.9481999999999999</v>
      </c>
      <c r="M33" s="305">
        <f>IF(L33=0,"-",ROUND(L33*B33/B$82,4))</f>
        <v>0.1474</v>
      </c>
      <c r="N33" s="429" t="s">
        <v>199</v>
      </c>
      <c r="O33" s="603" t="s">
        <v>223</v>
      </c>
      <c r="P33" s="709" t="s">
        <v>324</v>
      </c>
      <c r="Q33" s="709"/>
      <c r="R33" s="530" t="s">
        <v>330</v>
      </c>
      <c r="S33" s="530" t="s">
        <v>51</v>
      </c>
    </row>
    <row r="34" spans="1:19" ht="25.5">
      <c r="A34" s="309" t="s">
        <v>23</v>
      </c>
      <c r="B34" s="352"/>
      <c r="C34" s="320"/>
      <c r="D34" s="320"/>
      <c r="E34" s="320"/>
      <c r="F34" s="335" t="s">
        <v>70</v>
      </c>
      <c r="G34" s="335" t="s">
        <v>70</v>
      </c>
      <c r="H34" s="531" t="s">
        <v>58</v>
      </c>
      <c r="I34" s="535"/>
      <c r="J34" s="535"/>
      <c r="K34" s="532"/>
      <c r="L34" s="307"/>
      <c r="M34" s="308"/>
      <c r="N34" s="429" t="s">
        <v>237</v>
      </c>
      <c r="O34" s="463" t="s">
        <v>379</v>
      </c>
      <c r="P34" s="748">
        <v>350000</v>
      </c>
      <c r="Q34" s="748"/>
      <c r="R34" s="472">
        <v>345470</v>
      </c>
      <c r="S34" s="437">
        <f>R34*100/P34</f>
        <v>98.705714285714279</v>
      </c>
    </row>
    <row r="35" spans="1:19" ht="23.25">
      <c r="A35" s="309" t="s">
        <v>24</v>
      </c>
      <c r="B35" s="352"/>
      <c r="C35" s="320"/>
      <c r="D35" s="320"/>
      <c r="E35" s="320"/>
      <c r="F35" s="335" t="s">
        <v>137</v>
      </c>
      <c r="G35" s="335" t="s">
        <v>138</v>
      </c>
      <c r="H35" s="531" t="s">
        <v>147</v>
      </c>
      <c r="I35" s="535"/>
      <c r="J35" s="535"/>
      <c r="K35" s="532"/>
      <c r="L35" s="307"/>
      <c r="M35" s="308"/>
      <c r="N35" s="292">
        <v>25</v>
      </c>
      <c r="O35" s="435">
        <v>1</v>
      </c>
    </row>
    <row r="36" spans="1:19" ht="23.25">
      <c r="A36" s="309"/>
      <c r="B36" s="352"/>
      <c r="C36" s="320"/>
      <c r="D36" s="320"/>
      <c r="E36" s="320"/>
      <c r="F36" s="320"/>
      <c r="G36" s="320"/>
      <c r="H36" s="531" t="s">
        <v>180</v>
      </c>
      <c r="I36" s="535"/>
      <c r="J36" s="535"/>
      <c r="K36" s="532"/>
      <c r="L36" s="307"/>
      <c r="M36" s="308"/>
      <c r="N36" s="292">
        <f>98.706-75</f>
        <v>23.706000000000003</v>
      </c>
      <c r="O36" s="435">
        <f>O35*N36/N35</f>
        <v>0.94824000000000008</v>
      </c>
    </row>
    <row r="37" spans="1:19" ht="23.25">
      <c r="A37" s="309"/>
      <c r="B37" s="352"/>
      <c r="C37" s="320"/>
      <c r="D37" s="320"/>
      <c r="E37" s="320"/>
      <c r="F37" s="320"/>
      <c r="G37" s="311"/>
      <c r="H37" s="531"/>
      <c r="I37" s="323" t="s">
        <v>56</v>
      </c>
      <c r="J37" s="564">
        <f>S34</f>
        <v>98.705714285714279</v>
      </c>
      <c r="K37" s="532" t="s">
        <v>51</v>
      </c>
      <c r="L37" s="307"/>
      <c r="M37" s="308"/>
    </row>
    <row r="38" spans="1:19" ht="23.25">
      <c r="A38" s="309"/>
      <c r="B38" s="352"/>
      <c r="C38" s="320"/>
      <c r="D38" s="320"/>
      <c r="E38" s="320"/>
      <c r="F38" s="320"/>
      <c r="G38" s="320"/>
      <c r="H38" s="333"/>
      <c r="I38" s="306"/>
      <c r="J38" s="306"/>
      <c r="K38" s="312"/>
      <c r="L38" s="307"/>
      <c r="M38" s="308"/>
    </row>
    <row r="39" spans="1:19" ht="23.25">
      <c r="A39" s="302" t="s">
        <v>184</v>
      </c>
      <c r="B39" s="403">
        <v>4</v>
      </c>
      <c r="C39" s="332">
        <v>0.5</v>
      </c>
      <c r="D39" s="332">
        <v>0.75</v>
      </c>
      <c r="E39" s="332">
        <v>1</v>
      </c>
      <c r="F39" s="332">
        <v>1</v>
      </c>
      <c r="G39" s="332">
        <v>1</v>
      </c>
      <c r="H39" s="536" t="s">
        <v>152</v>
      </c>
      <c r="I39" s="533"/>
      <c r="J39" s="533"/>
      <c r="K39" s="534"/>
      <c r="L39" s="304">
        <v>1</v>
      </c>
      <c r="M39" s="305">
        <f>IF(L39=0,"-",ROUND(L39*B39/B$82,4))</f>
        <v>0.05</v>
      </c>
      <c r="N39" s="429" t="s">
        <v>332</v>
      </c>
    </row>
    <row r="40" spans="1:19" ht="23.25">
      <c r="A40" s="309" t="s">
        <v>151</v>
      </c>
      <c r="B40" s="406"/>
      <c r="C40" s="335"/>
      <c r="D40" s="335"/>
      <c r="E40" s="335"/>
      <c r="F40" s="335" t="s">
        <v>70</v>
      </c>
      <c r="G40" s="335" t="s">
        <v>70</v>
      </c>
      <c r="H40" s="535" t="s">
        <v>153</v>
      </c>
      <c r="I40" s="535"/>
      <c r="J40" s="535"/>
      <c r="K40" s="532"/>
      <c r="L40" s="307"/>
      <c r="M40" s="308"/>
      <c r="N40" s="429" t="s">
        <v>237</v>
      </c>
    </row>
    <row r="41" spans="1:19" ht="23.25">
      <c r="A41" s="309"/>
      <c r="B41" s="406"/>
      <c r="C41" s="335"/>
      <c r="D41" s="335"/>
      <c r="E41" s="335"/>
      <c r="F41" s="335" t="s">
        <v>137</v>
      </c>
      <c r="G41" s="335" t="s">
        <v>138</v>
      </c>
      <c r="H41" s="535" t="s">
        <v>180</v>
      </c>
      <c r="I41" s="535"/>
      <c r="J41" s="535"/>
      <c r="K41" s="532"/>
      <c r="L41" s="307"/>
      <c r="M41" s="308"/>
    </row>
    <row r="42" spans="1:19" ht="23.25">
      <c r="A42" s="309"/>
      <c r="B42" s="406"/>
      <c r="C42" s="336"/>
      <c r="D42" s="336"/>
      <c r="E42" s="336"/>
      <c r="F42" s="336"/>
      <c r="G42" s="390"/>
      <c r="H42" s="531"/>
      <c r="I42" s="323" t="s">
        <v>56</v>
      </c>
      <c r="J42" s="324">
        <v>50</v>
      </c>
      <c r="K42" s="532" t="s">
        <v>51</v>
      </c>
      <c r="L42" s="307"/>
      <c r="M42" s="308"/>
    </row>
    <row r="43" spans="1:19" ht="23.25">
      <c r="A43" s="325"/>
      <c r="B43" s="359"/>
      <c r="C43" s="310"/>
      <c r="D43" s="310"/>
      <c r="E43" s="310"/>
      <c r="F43" s="310"/>
      <c r="G43" s="310"/>
      <c r="H43" s="527"/>
      <c r="I43" s="528"/>
      <c r="J43" s="528"/>
      <c r="K43" s="529"/>
      <c r="L43" s="326"/>
      <c r="M43" s="299"/>
    </row>
    <row r="44" spans="1:19" ht="23.25">
      <c r="A44" s="302" t="s">
        <v>185</v>
      </c>
      <c r="B44" s="403">
        <v>12</v>
      </c>
      <c r="C44" s="332">
        <v>0.78</v>
      </c>
      <c r="D44" s="332">
        <v>0.81</v>
      </c>
      <c r="E44" s="332">
        <v>0.84</v>
      </c>
      <c r="F44" s="332">
        <v>0.87</v>
      </c>
      <c r="G44" s="332">
        <v>0.9</v>
      </c>
      <c r="H44" s="536" t="s">
        <v>186</v>
      </c>
      <c r="I44" s="533"/>
      <c r="J44" s="533"/>
      <c r="K44" s="534"/>
      <c r="L44" s="304">
        <v>1</v>
      </c>
      <c r="M44" s="305">
        <f>IF(L44=0,"-",ROUND(L44*B44/B$82,4))</f>
        <v>0.15</v>
      </c>
      <c r="N44" s="429" t="s">
        <v>297</v>
      </c>
    </row>
    <row r="45" spans="1:19" ht="23.25">
      <c r="A45" s="309" t="s">
        <v>85</v>
      </c>
      <c r="B45" s="352"/>
      <c r="C45" s="320"/>
      <c r="D45" s="320"/>
      <c r="E45" s="320"/>
      <c r="F45" s="320"/>
      <c r="G45" s="320"/>
      <c r="H45" s="531" t="s">
        <v>196</v>
      </c>
      <c r="I45" s="535"/>
      <c r="J45" s="535"/>
      <c r="K45" s="532"/>
      <c r="L45" s="307"/>
      <c r="M45" s="308"/>
      <c r="N45" s="429" t="s">
        <v>237</v>
      </c>
    </row>
    <row r="46" spans="1:19" ht="23.25">
      <c r="A46" s="309"/>
      <c r="B46" s="352"/>
      <c r="C46" s="320"/>
      <c r="D46" s="320"/>
      <c r="E46" s="320"/>
      <c r="F46" s="320"/>
      <c r="G46" s="320"/>
      <c r="H46" s="327"/>
      <c r="I46" s="327" t="s">
        <v>87</v>
      </c>
      <c r="J46" s="433">
        <v>557520000</v>
      </c>
      <c r="K46" s="532" t="s">
        <v>187</v>
      </c>
      <c r="L46" s="307"/>
      <c r="M46" s="308"/>
    </row>
    <row r="47" spans="1:19" ht="23.25">
      <c r="A47" s="309"/>
      <c r="B47" s="352"/>
      <c r="C47" s="320"/>
      <c r="D47" s="320"/>
      <c r="E47" s="320"/>
      <c r="F47" s="320"/>
      <c r="G47" s="320"/>
      <c r="H47" s="327"/>
      <c r="I47" s="323" t="s">
        <v>188</v>
      </c>
      <c r="J47" s="434">
        <v>345800000</v>
      </c>
      <c r="K47" s="532" t="s">
        <v>187</v>
      </c>
      <c r="L47" s="307"/>
      <c r="M47" s="308"/>
    </row>
    <row r="48" spans="1:19" ht="23.25">
      <c r="A48" s="309"/>
      <c r="B48" s="352"/>
      <c r="C48" s="320"/>
      <c r="D48" s="320"/>
      <c r="E48" s="320"/>
      <c r="F48" s="320"/>
      <c r="G48" s="320"/>
      <c r="H48" s="327"/>
      <c r="I48" s="323" t="s">
        <v>189</v>
      </c>
      <c r="J48" s="430">
        <f>J47*100/J46</f>
        <v>62.024680728942457</v>
      </c>
      <c r="K48" s="532" t="s">
        <v>51</v>
      </c>
      <c r="L48" s="307"/>
      <c r="M48" s="308"/>
    </row>
    <row r="49" spans="1:14" ht="23.25">
      <c r="A49" s="325"/>
      <c r="B49" s="359"/>
      <c r="C49" s="310"/>
      <c r="D49" s="310"/>
      <c r="E49" s="310"/>
      <c r="F49" s="310"/>
      <c r="G49" s="310"/>
      <c r="H49" s="337"/>
      <c r="I49" s="427"/>
      <c r="J49" s="338"/>
      <c r="K49" s="428"/>
      <c r="L49" s="326"/>
      <c r="M49" s="299"/>
    </row>
    <row r="50" spans="1:14" ht="23.25">
      <c r="A50" s="339" t="s">
        <v>190</v>
      </c>
      <c r="B50" s="407">
        <v>4</v>
      </c>
      <c r="C50" s="340">
        <v>0.65</v>
      </c>
      <c r="D50" s="340">
        <v>0.7</v>
      </c>
      <c r="E50" s="340">
        <v>0.75</v>
      </c>
      <c r="F50" s="340">
        <v>0.8</v>
      </c>
      <c r="G50" s="340">
        <v>0.85</v>
      </c>
      <c r="H50" s="536" t="s">
        <v>156</v>
      </c>
      <c r="I50" s="533"/>
      <c r="J50" s="533"/>
      <c r="K50" s="534"/>
      <c r="L50" s="304">
        <v>1</v>
      </c>
      <c r="M50" s="305">
        <f>IF(L50=0,"-",ROUND(L50*B50/B$82,4))</f>
        <v>0.05</v>
      </c>
      <c r="N50" s="429" t="s">
        <v>340</v>
      </c>
    </row>
    <row r="51" spans="1:14" ht="23.25">
      <c r="A51" s="309" t="s">
        <v>145</v>
      </c>
      <c r="B51" s="352"/>
      <c r="C51" s="320"/>
      <c r="D51" s="320"/>
      <c r="E51" s="320"/>
      <c r="F51" s="320"/>
      <c r="G51" s="320"/>
      <c r="H51" s="531" t="s">
        <v>104</v>
      </c>
      <c r="I51" s="535"/>
      <c r="J51" s="535"/>
      <c r="K51" s="532"/>
      <c r="L51" s="307"/>
      <c r="M51" s="308"/>
      <c r="N51" s="429" t="s">
        <v>237</v>
      </c>
    </row>
    <row r="52" spans="1:14" ht="23.25">
      <c r="A52" s="389" t="s">
        <v>155</v>
      </c>
      <c r="B52" s="352"/>
      <c r="C52" s="320"/>
      <c r="D52" s="320"/>
      <c r="E52" s="320"/>
      <c r="F52" s="320"/>
      <c r="G52" s="320"/>
      <c r="H52" s="531" t="s">
        <v>105</v>
      </c>
      <c r="I52" s="535"/>
      <c r="J52" s="535"/>
      <c r="K52" s="532"/>
      <c r="L52" s="307"/>
      <c r="M52" s="308"/>
    </row>
    <row r="53" spans="1:14" ht="23.25">
      <c r="A53" s="309"/>
      <c r="B53" s="352"/>
      <c r="C53" s="320"/>
      <c r="D53" s="320"/>
      <c r="E53" s="320"/>
      <c r="F53" s="320"/>
      <c r="G53" s="320"/>
      <c r="H53" s="341"/>
      <c r="I53" s="342" t="s">
        <v>113</v>
      </c>
      <c r="J53" s="343" t="s">
        <v>11</v>
      </c>
      <c r="K53" s="532" t="s">
        <v>51</v>
      </c>
      <c r="L53" s="307"/>
      <c r="M53" s="308"/>
    </row>
    <row r="54" spans="1:14" ht="23.25">
      <c r="A54" s="325"/>
      <c r="B54" s="359"/>
      <c r="C54" s="310"/>
      <c r="D54" s="310"/>
      <c r="E54" s="310"/>
      <c r="F54" s="310"/>
      <c r="G54" s="416"/>
      <c r="H54" s="705" t="s">
        <v>211</v>
      </c>
      <c r="I54" s="706"/>
      <c r="J54" s="706"/>
      <c r="K54" s="707"/>
      <c r="L54" s="326"/>
      <c r="M54" s="299"/>
    </row>
    <row r="55" spans="1:14" ht="23.25">
      <c r="A55" s="302" t="s">
        <v>106</v>
      </c>
      <c r="B55" s="407">
        <v>4</v>
      </c>
      <c r="C55" s="346" t="s">
        <v>29</v>
      </c>
      <c r="D55" s="346" t="s">
        <v>30</v>
      </c>
      <c r="E55" s="346" t="s">
        <v>31</v>
      </c>
      <c r="F55" s="346" t="s">
        <v>32</v>
      </c>
      <c r="G55" s="346" t="s">
        <v>33</v>
      </c>
      <c r="H55" s="536" t="s">
        <v>108</v>
      </c>
      <c r="I55" s="533"/>
      <c r="J55" s="533"/>
      <c r="K55" s="534"/>
      <c r="L55" s="304">
        <v>2</v>
      </c>
      <c r="M55" s="305">
        <f>IF(L55=0,"-",ROUND(L55*B55/B$82,4))</f>
        <v>0.1</v>
      </c>
      <c r="N55" s="429" t="s">
        <v>332</v>
      </c>
    </row>
    <row r="56" spans="1:14" ht="23.25">
      <c r="A56" s="309" t="s">
        <v>107</v>
      </c>
      <c r="B56" s="352"/>
      <c r="C56" s="348">
        <v>1.5</v>
      </c>
      <c r="D56" s="348">
        <v>2</v>
      </c>
      <c r="E56" s="348">
        <v>2.5</v>
      </c>
      <c r="F56" s="348">
        <v>3</v>
      </c>
      <c r="G56" s="348">
        <v>5</v>
      </c>
      <c r="H56" s="531" t="s">
        <v>146</v>
      </c>
      <c r="I56" s="535"/>
      <c r="J56" s="535"/>
      <c r="K56" s="532"/>
      <c r="L56" s="307"/>
      <c r="M56" s="308"/>
      <c r="N56" s="429" t="s">
        <v>237</v>
      </c>
    </row>
    <row r="57" spans="1:14" ht="23.25">
      <c r="A57" s="309"/>
      <c r="B57" s="352"/>
      <c r="C57" s="344"/>
      <c r="D57" s="344"/>
      <c r="E57" s="344"/>
      <c r="F57" s="344"/>
      <c r="G57" s="344"/>
      <c r="H57" s="531" t="s">
        <v>110</v>
      </c>
      <c r="I57" s="535"/>
      <c r="J57" s="535"/>
      <c r="K57" s="532"/>
      <c r="L57" s="307"/>
      <c r="M57" s="308"/>
    </row>
    <row r="58" spans="1:14" ht="23.25">
      <c r="A58" s="309"/>
      <c r="B58" s="352"/>
      <c r="C58" s="344"/>
      <c r="D58" s="344"/>
      <c r="E58" s="344"/>
      <c r="F58" s="344"/>
      <c r="G58" s="344"/>
      <c r="H58" s="531" t="s">
        <v>191</v>
      </c>
      <c r="I58" s="535"/>
      <c r="J58" s="535"/>
      <c r="K58" s="532"/>
      <c r="L58" s="307"/>
      <c r="M58" s="308"/>
    </row>
    <row r="59" spans="1:14" ht="23.25">
      <c r="A59" s="309"/>
      <c r="B59" s="352"/>
      <c r="C59" s="344"/>
      <c r="D59" s="344"/>
      <c r="E59" s="344"/>
      <c r="F59" s="344"/>
      <c r="G59" s="344"/>
      <c r="H59" s="531"/>
      <c r="I59" s="323" t="s">
        <v>112</v>
      </c>
      <c r="J59" s="324">
        <v>2</v>
      </c>
      <c r="K59" s="382"/>
      <c r="L59" s="307"/>
      <c r="M59" s="308"/>
    </row>
    <row r="60" spans="1:14" ht="23.25">
      <c r="A60" s="325"/>
      <c r="B60" s="359"/>
      <c r="C60" s="310"/>
      <c r="D60" s="310"/>
      <c r="E60" s="310"/>
      <c r="F60" s="310"/>
      <c r="G60" s="310"/>
      <c r="H60" s="705"/>
      <c r="I60" s="706"/>
      <c r="J60" s="706"/>
      <c r="K60" s="707"/>
      <c r="L60" s="326"/>
      <c r="M60" s="299"/>
    </row>
    <row r="61" spans="1:14" ht="23.25">
      <c r="A61" s="350" t="s">
        <v>132</v>
      </c>
      <c r="B61" s="407">
        <v>4</v>
      </c>
      <c r="C61" s="340">
        <v>0.1</v>
      </c>
      <c r="D61" s="340">
        <v>0.3</v>
      </c>
      <c r="E61" s="340">
        <v>0.5</v>
      </c>
      <c r="F61" s="340">
        <v>0.7</v>
      </c>
      <c r="G61" s="340">
        <v>1</v>
      </c>
      <c r="H61" s="536" t="s">
        <v>123</v>
      </c>
      <c r="I61" s="533"/>
      <c r="J61" s="533"/>
      <c r="K61" s="534"/>
      <c r="L61" s="304">
        <v>5</v>
      </c>
      <c r="M61" s="305">
        <f>IF(L61=0,"-",ROUND(L61*B61/B$82,4))</f>
        <v>0.25</v>
      </c>
      <c r="N61" s="429" t="s">
        <v>202</v>
      </c>
    </row>
    <row r="62" spans="1:14" ht="23.25">
      <c r="A62" s="351" t="s">
        <v>192</v>
      </c>
      <c r="B62" s="352"/>
      <c r="C62" s="320"/>
      <c r="D62" s="320"/>
      <c r="E62" s="320"/>
      <c r="F62" s="320"/>
      <c r="G62" s="311"/>
      <c r="H62" s="531" t="s">
        <v>124</v>
      </c>
      <c r="I62" s="322"/>
      <c r="J62" s="353"/>
      <c r="K62" s="354"/>
      <c r="L62" s="355"/>
      <c r="M62" s="308"/>
      <c r="N62" s="429" t="s">
        <v>237</v>
      </c>
    </row>
    <row r="63" spans="1:14" ht="23.25">
      <c r="A63" s="351"/>
      <c r="B63" s="352"/>
      <c r="C63" s="320"/>
      <c r="D63" s="320"/>
      <c r="E63" s="320"/>
      <c r="F63" s="320"/>
      <c r="G63" s="320"/>
      <c r="H63" s="535" t="s">
        <v>125</v>
      </c>
      <c r="I63" s="322"/>
      <c r="J63" s="353"/>
      <c r="K63" s="354"/>
      <c r="L63" s="355"/>
      <c r="M63" s="308"/>
    </row>
    <row r="64" spans="1:14" ht="23.25">
      <c r="A64" s="351"/>
      <c r="B64" s="352"/>
      <c r="C64" s="320"/>
      <c r="D64" s="320"/>
      <c r="E64" s="320"/>
      <c r="F64" s="320"/>
      <c r="G64" s="320"/>
      <c r="H64" s="531" t="s">
        <v>126</v>
      </c>
      <c r="I64" s="322"/>
      <c r="J64" s="353"/>
      <c r="K64" s="354"/>
      <c r="L64" s="355"/>
      <c r="M64" s="308"/>
    </row>
    <row r="65" spans="1:15" ht="23.25">
      <c r="A65" s="351"/>
      <c r="B65" s="352"/>
      <c r="C65" s="320"/>
      <c r="D65" s="320"/>
      <c r="E65" s="320"/>
      <c r="F65" s="320"/>
      <c r="G65" s="320"/>
      <c r="H65" s="531" t="s">
        <v>127</v>
      </c>
      <c r="I65" s="322"/>
      <c r="J65" s="353"/>
      <c r="K65" s="354"/>
      <c r="L65" s="355"/>
      <c r="M65" s="308"/>
    </row>
    <row r="66" spans="1:15" ht="23.25">
      <c r="A66" s="351"/>
      <c r="B66" s="352"/>
      <c r="C66" s="320"/>
      <c r="D66" s="320"/>
      <c r="E66" s="320"/>
      <c r="F66" s="320"/>
      <c r="G66" s="320"/>
      <c r="H66" s="531"/>
      <c r="I66" s="323" t="s">
        <v>114</v>
      </c>
      <c r="J66" s="408">
        <v>100</v>
      </c>
      <c r="K66" s="382" t="s">
        <v>51</v>
      </c>
      <c r="L66" s="355"/>
      <c r="M66" s="308"/>
    </row>
    <row r="67" spans="1:15" ht="23.25">
      <c r="A67" s="358"/>
      <c r="B67" s="359"/>
      <c r="C67" s="310"/>
      <c r="D67" s="310"/>
      <c r="E67" s="310"/>
      <c r="F67" s="310"/>
      <c r="G67" s="310"/>
      <c r="H67" s="330"/>
      <c r="I67" s="427"/>
      <c r="J67" s="427"/>
      <c r="K67" s="428"/>
      <c r="L67" s="360"/>
      <c r="M67" s="299"/>
    </row>
    <row r="68" spans="1:15" ht="23.25">
      <c r="A68" s="302" t="s">
        <v>115</v>
      </c>
      <c r="B68" s="407">
        <v>4</v>
      </c>
      <c r="C68" s="361">
        <v>0.8</v>
      </c>
      <c r="D68" s="361">
        <v>0.85</v>
      </c>
      <c r="E68" s="361">
        <v>0.9</v>
      </c>
      <c r="F68" s="361">
        <v>0.95</v>
      </c>
      <c r="G68" s="361">
        <v>1</v>
      </c>
      <c r="H68" s="536" t="s">
        <v>157</v>
      </c>
      <c r="I68" s="533"/>
      <c r="J68" s="533"/>
      <c r="K68" s="534"/>
      <c r="L68" s="304">
        <v>4.8959999999999999</v>
      </c>
      <c r="M68" s="305">
        <f>IF(L68=0,"-",ROUND(L68*B68/B$82,4))</f>
        <v>0.24479999999999999</v>
      </c>
      <c r="N68" s="292">
        <v>5</v>
      </c>
      <c r="O68" s="435">
        <v>1</v>
      </c>
    </row>
    <row r="69" spans="1:15" ht="23.25">
      <c r="A69" s="309" t="s">
        <v>116</v>
      </c>
      <c r="B69" s="352"/>
      <c r="C69" s="348"/>
      <c r="D69" s="348"/>
      <c r="E69" s="348"/>
      <c r="F69" s="348"/>
      <c r="G69" s="348"/>
      <c r="H69" s="531" t="s">
        <v>158</v>
      </c>
      <c r="I69" s="535"/>
      <c r="J69" s="535"/>
      <c r="K69" s="532"/>
      <c r="L69" s="362"/>
      <c r="M69" s="308"/>
      <c r="N69" s="292">
        <v>4.4800000000000004</v>
      </c>
      <c r="O69" s="435">
        <f>O68*N69/N68</f>
        <v>0.89600000000000013</v>
      </c>
    </row>
    <row r="70" spans="1:15" ht="23.25">
      <c r="A70" s="309" t="s">
        <v>193</v>
      </c>
      <c r="B70" s="352"/>
      <c r="C70" s="320"/>
      <c r="D70" s="320"/>
      <c r="E70" s="320"/>
      <c r="F70" s="320"/>
      <c r="G70" s="320"/>
      <c r="H70" s="531" t="s">
        <v>197</v>
      </c>
      <c r="I70" s="535"/>
      <c r="J70" s="535"/>
      <c r="K70" s="532"/>
      <c r="L70" s="362"/>
      <c r="M70" s="308"/>
    </row>
    <row r="71" spans="1:15" ht="23.25">
      <c r="A71" s="309"/>
      <c r="B71" s="352"/>
      <c r="C71" s="320"/>
      <c r="D71" s="320"/>
      <c r="E71" s="320"/>
      <c r="F71" s="320"/>
      <c r="G71" s="320"/>
      <c r="H71" s="531" t="s">
        <v>120</v>
      </c>
      <c r="I71" s="535"/>
      <c r="J71" s="535"/>
      <c r="K71" s="532"/>
      <c r="L71" s="362"/>
      <c r="M71" s="308"/>
    </row>
    <row r="72" spans="1:15" ht="23.25">
      <c r="A72" s="309"/>
      <c r="B72" s="352"/>
      <c r="C72" s="320"/>
      <c r="D72" s="320"/>
      <c r="E72" s="320"/>
      <c r="F72" s="320"/>
      <c r="G72" s="320"/>
      <c r="H72" s="531" t="s">
        <v>194</v>
      </c>
      <c r="I72" s="535"/>
      <c r="J72" s="535"/>
      <c r="K72" s="532"/>
      <c r="L72" s="362"/>
      <c r="M72" s="308"/>
    </row>
    <row r="73" spans="1:15" ht="23.25">
      <c r="A73" s="309"/>
      <c r="B73" s="352"/>
      <c r="C73" s="320"/>
      <c r="D73" s="320"/>
      <c r="E73" s="320"/>
      <c r="F73" s="320"/>
      <c r="G73" s="344"/>
      <c r="H73" s="531" t="s">
        <v>195</v>
      </c>
      <c r="I73" s="345"/>
      <c r="J73" s="408">
        <v>99.48</v>
      </c>
      <c r="K73" s="414" t="s">
        <v>51</v>
      </c>
      <c r="L73" s="413"/>
      <c r="M73" s="308"/>
    </row>
    <row r="74" spans="1:15" ht="23.25">
      <c r="A74" s="358"/>
      <c r="B74" s="415"/>
      <c r="C74" s="412"/>
      <c r="D74" s="412"/>
      <c r="E74" s="412"/>
      <c r="F74" s="412"/>
      <c r="G74" s="329"/>
      <c r="H74" s="538"/>
      <c r="I74" s="418"/>
      <c r="J74" s="419"/>
      <c r="K74" s="417"/>
      <c r="L74" s="420"/>
      <c r="M74" s="308"/>
    </row>
    <row r="75" spans="1:15" ht="23.25">
      <c r="A75" s="351" t="s">
        <v>316</v>
      </c>
      <c r="B75" s="543">
        <v>4</v>
      </c>
      <c r="C75" s="544">
        <v>0.4</v>
      </c>
      <c r="D75" s="544">
        <v>0.45</v>
      </c>
      <c r="E75" s="544">
        <v>0.5</v>
      </c>
      <c r="F75" s="544">
        <v>0.55000000000000004</v>
      </c>
      <c r="G75" s="544">
        <v>0.6</v>
      </c>
      <c r="H75" s="531" t="s">
        <v>317</v>
      </c>
      <c r="I75" s="345"/>
      <c r="J75" s="545"/>
      <c r="K75" s="546"/>
      <c r="L75" s="413">
        <v>3</v>
      </c>
      <c r="M75" s="305">
        <f>IF(L75=0,"-",ROUND(L75*B75/B$82,4))</f>
        <v>0.15</v>
      </c>
    </row>
    <row r="76" spans="1:15" ht="23.25">
      <c r="A76" s="351" t="s">
        <v>318</v>
      </c>
      <c r="B76" s="406"/>
      <c r="C76" s="311"/>
      <c r="D76" s="311"/>
      <c r="E76" s="311"/>
      <c r="F76" s="311"/>
      <c r="G76" s="333"/>
      <c r="H76" s="531" t="s">
        <v>319</v>
      </c>
      <c r="I76" s="345"/>
      <c r="J76" s="545"/>
      <c r="K76" s="546"/>
      <c r="L76" s="413"/>
      <c r="M76" s="308"/>
    </row>
    <row r="77" spans="1:15" ht="23.25">
      <c r="A77" s="351"/>
      <c r="B77" s="406"/>
      <c r="C77" s="311"/>
      <c r="D77" s="311"/>
      <c r="E77" s="311"/>
      <c r="F77" s="311"/>
      <c r="G77" s="333"/>
      <c r="H77" s="531"/>
      <c r="I77" s="345"/>
      <c r="J77" s="545"/>
      <c r="K77" s="546"/>
      <c r="L77" s="413"/>
      <c r="M77" s="308"/>
    </row>
    <row r="78" spans="1:15" ht="23.25">
      <c r="A78" s="351"/>
      <c r="B78" s="406"/>
      <c r="C78" s="311"/>
      <c r="D78" s="311"/>
      <c r="E78" s="311"/>
      <c r="F78" s="311"/>
      <c r="G78" s="333"/>
      <c r="H78" s="531"/>
      <c r="I78" s="345" t="s">
        <v>174</v>
      </c>
      <c r="J78" s="547">
        <v>50</v>
      </c>
      <c r="K78" s="414" t="s">
        <v>51</v>
      </c>
      <c r="L78" s="413"/>
      <c r="M78" s="308"/>
    </row>
    <row r="79" spans="1:15" ht="23.25">
      <c r="A79" s="351"/>
      <c r="B79" s="406"/>
      <c r="C79" s="311"/>
      <c r="D79" s="311"/>
      <c r="E79" s="311"/>
      <c r="F79" s="311"/>
      <c r="G79" s="333"/>
      <c r="H79" s="531"/>
      <c r="I79" s="345"/>
      <c r="J79" s="545"/>
      <c r="K79" s="546"/>
      <c r="L79" s="413"/>
      <c r="M79" s="308"/>
    </row>
    <row r="80" spans="1:15" ht="23.25">
      <c r="A80" s="351"/>
      <c r="B80" s="406"/>
      <c r="C80" s="311"/>
      <c r="D80" s="311"/>
      <c r="E80" s="311"/>
      <c r="F80" s="311"/>
      <c r="G80" s="333"/>
      <c r="H80" s="531"/>
      <c r="I80" s="345"/>
      <c r="J80" s="545"/>
      <c r="K80" s="546"/>
      <c r="L80" s="413"/>
      <c r="M80" s="308"/>
    </row>
    <row r="81" spans="1:13" ht="23.25">
      <c r="A81" s="358"/>
      <c r="B81" s="415"/>
      <c r="C81" s="412"/>
      <c r="D81" s="412"/>
      <c r="E81" s="412"/>
      <c r="F81" s="412"/>
      <c r="G81" s="416"/>
      <c r="H81" s="538"/>
      <c r="I81" s="345"/>
      <c r="J81" s="545"/>
      <c r="K81" s="417"/>
      <c r="L81" s="413"/>
      <c r="M81" s="308"/>
    </row>
    <row r="82" spans="1:13" ht="26.25">
      <c r="A82" s="363"/>
      <c r="B82" s="409">
        <f>ROUND(SUM(B6:B81),1)</f>
        <v>80</v>
      </c>
      <c r="C82" s="364"/>
      <c r="D82" s="364"/>
      <c r="E82" s="364"/>
      <c r="F82" s="364"/>
      <c r="G82" s="365"/>
      <c r="H82" s="364"/>
      <c r="I82" s="364"/>
      <c r="J82" s="364"/>
      <c r="K82" s="364"/>
      <c r="L82" s="366" t="s">
        <v>139</v>
      </c>
      <c r="M82" s="410">
        <f>(SUM(M6:M81))</f>
        <v>1.7155</v>
      </c>
    </row>
  </sheetData>
  <mergeCells count="26">
    <mergeCell ref="H6:I7"/>
    <mergeCell ref="J6:K6"/>
    <mergeCell ref="A1:M1"/>
    <mergeCell ref="A2:M2"/>
    <mergeCell ref="C4:G4"/>
    <mergeCell ref="H4:K5"/>
    <mergeCell ref="L4:L5"/>
    <mergeCell ref="H21:K21"/>
    <mergeCell ref="H9:I9"/>
    <mergeCell ref="H10:I10"/>
    <mergeCell ref="H11:I11"/>
    <mergeCell ref="H12:K12"/>
    <mergeCell ref="H13:K13"/>
    <mergeCell ref="H14:K14"/>
    <mergeCell ref="H15:K15"/>
    <mergeCell ref="H16:K16"/>
    <mergeCell ref="H18:K18"/>
    <mergeCell ref="H19:K19"/>
    <mergeCell ref="H20:K20"/>
    <mergeCell ref="H60:K60"/>
    <mergeCell ref="H26:K26"/>
    <mergeCell ref="H28:K28"/>
    <mergeCell ref="H33:K33"/>
    <mergeCell ref="P33:Q33"/>
    <mergeCell ref="P34:Q34"/>
    <mergeCell ref="H54:K54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5" max="12" man="1"/>
    <brk id="5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F94"/>
  <sheetViews>
    <sheetView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31" customWidth="1"/>
    <col min="2" max="2" width="10.140625" style="31" bestFit="1" customWidth="1"/>
    <col min="3" max="3" width="10.140625" style="31" customWidth="1"/>
    <col min="4" max="4" width="10.28515625" style="31" customWidth="1"/>
    <col min="5" max="7" width="10.7109375" style="31" customWidth="1"/>
    <col min="8" max="9" width="9.85546875" style="31" customWidth="1"/>
    <col min="10" max="10" width="13.140625" style="31" customWidth="1"/>
    <col min="11" max="11" width="27.28515625" style="31" customWidth="1"/>
    <col min="12" max="12" width="11.5703125" style="31" customWidth="1"/>
    <col min="13" max="13" width="11.140625" style="31" customWidth="1"/>
    <col min="14" max="16384" width="9.140625" style="31"/>
  </cols>
  <sheetData>
    <row r="1" spans="1:16" ht="27.75">
      <c r="A1" s="685" t="s">
        <v>0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</row>
    <row r="2" spans="1:16" ht="27.75">
      <c r="A2" s="685" t="s">
        <v>45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</row>
    <row r="3" spans="1:16" ht="26.25" customHeight="1">
      <c r="A3" s="79" t="s">
        <v>130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37</v>
      </c>
    </row>
    <row r="4" spans="1:16" s="34" customFormat="1" ht="24.75" customHeight="1">
      <c r="A4" s="32" t="s">
        <v>1</v>
      </c>
      <c r="B4" s="32" t="s">
        <v>2</v>
      </c>
      <c r="C4" s="687" t="s">
        <v>3</v>
      </c>
      <c r="D4" s="687"/>
      <c r="E4" s="687"/>
      <c r="F4" s="687"/>
      <c r="G4" s="687"/>
      <c r="H4" s="688" t="s">
        <v>4</v>
      </c>
      <c r="I4" s="689"/>
      <c r="J4" s="689"/>
      <c r="K4" s="690"/>
      <c r="L4" s="694" t="s">
        <v>5</v>
      </c>
      <c r="M4" s="33" t="s">
        <v>6</v>
      </c>
    </row>
    <row r="5" spans="1:16" s="34" customFormat="1" ht="24.75" customHeight="1">
      <c r="A5" s="35" t="s">
        <v>7</v>
      </c>
      <c r="B5" s="35" t="s">
        <v>8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691"/>
      <c r="I5" s="692"/>
      <c r="J5" s="692"/>
      <c r="K5" s="693"/>
      <c r="L5" s="694"/>
      <c r="M5" s="37" t="s">
        <v>9</v>
      </c>
    </row>
    <row r="6" spans="1:16" ht="23.25" customHeight="1">
      <c r="A6" s="38" t="s">
        <v>10</v>
      </c>
      <c r="B6" s="109">
        <v>10</v>
      </c>
      <c r="C6" s="2">
        <v>0.6</v>
      </c>
      <c r="D6" s="2">
        <v>0.7</v>
      </c>
      <c r="E6" s="2">
        <v>0.8</v>
      </c>
      <c r="F6" s="2">
        <v>0.9</v>
      </c>
      <c r="G6" s="2">
        <v>1</v>
      </c>
      <c r="H6" s="83" t="s">
        <v>128</v>
      </c>
      <c r="I6" s="68"/>
      <c r="J6" s="68"/>
      <c r="K6" s="69"/>
      <c r="L6" s="114">
        <f>'[1]7 เดือน'!$L$6</f>
        <v>2.3549999999999995</v>
      </c>
      <c r="M6" s="61">
        <f>IF(L6=0,"-",L6*B6/B$94)</f>
        <v>0.23549999999999996</v>
      </c>
    </row>
    <row r="7" spans="1:16" ht="23.25" customHeight="1">
      <c r="A7" s="39" t="s">
        <v>12</v>
      </c>
      <c r="B7" s="3"/>
      <c r="C7" s="4"/>
      <c r="D7" s="4"/>
      <c r="E7" s="4"/>
      <c r="F7" s="4"/>
      <c r="G7" s="4"/>
      <c r="H7" s="84" t="s">
        <v>40</v>
      </c>
      <c r="I7" s="70"/>
      <c r="J7" s="113">
        <f>'[1]7 เดือน'!$J$7</f>
        <v>73.55</v>
      </c>
      <c r="K7" s="71" t="s">
        <v>51</v>
      </c>
      <c r="L7" s="115"/>
      <c r="M7" s="62"/>
    </row>
    <row r="8" spans="1:16" ht="23.25" customHeight="1">
      <c r="A8" s="40"/>
      <c r="B8" s="5"/>
      <c r="C8" s="6"/>
      <c r="D8" s="6"/>
      <c r="E8" s="6"/>
      <c r="F8" s="6"/>
      <c r="G8" s="6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7">
        <v>8304</v>
      </c>
      <c r="D9" s="8">
        <v>11418</v>
      </c>
      <c r="E9" s="8">
        <v>14532</v>
      </c>
      <c r="F9" s="8">
        <v>17646</v>
      </c>
      <c r="G9" s="8">
        <v>20760</v>
      </c>
      <c r="H9" s="680" t="s">
        <v>14</v>
      </c>
      <c r="I9" s="681"/>
      <c r="J9" s="682" t="s">
        <v>15</v>
      </c>
      <c r="K9" s="682"/>
      <c r="L9" s="114">
        <f>'[1]6 เดือน'!$L$9</f>
        <v>1</v>
      </c>
      <c r="M9" s="61">
        <f>IF(L9=0,"-",L9*B9/B$94)</f>
        <v>0.1</v>
      </c>
      <c r="O9" s="41"/>
      <c r="P9" s="42"/>
    </row>
    <row r="10" spans="1:16" ht="23.25" customHeight="1">
      <c r="A10" s="40" t="s">
        <v>16</v>
      </c>
      <c r="B10" s="3"/>
      <c r="C10" s="9" t="s">
        <v>38</v>
      </c>
      <c r="D10" s="9" t="s">
        <v>38</v>
      </c>
      <c r="E10" s="9" t="s">
        <v>39</v>
      </c>
      <c r="F10" s="9" t="s">
        <v>38</v>
      </c>
      <c r="G10" s="9" t="s">
        <v>38</v>
      </c>
      <c r="H10" s="680"/>
      <c r="I10" s="681"/>
      <c r="J10" s="72" t="s">
        <v>17</v>
      </c>
      <c r="K10" s="72" t="s">
        <v>18</v>
      </c>
      <c r="L10" s="115"/>
      <c r="M10" s="62"/>
      <c r="O10" s="41"/>
      <c r="P10" s="43"/>
    </row>
    <row r="11" spans="1:16" ht="23.25" customHeight="1">
      <c r="A11" s="40"/>
      <c r="B11" s="3"/>
      <c r="C11" s="10"/>
      <c r="D11" s="10"/>
      <c r="E11" s="10"/>
      <c r="F11" s="10"/>
      <c r="G11" s="10"/>
      <c r="H11" s="683" t="s">
        <v>19</v>
      </c>
      <c r="I11" s="684"/>
      <c r="J11" s="73">
        <v>19000</v>
      </c>
      <c r="K11" s="64">
        <v>5000</v>
      </c>
      <c r="L11" s="115"/>
      <c r="M11" s="62"/>
    </row>
    <row r="12" spans="1:16" ht="23.25" customHeight="1">
      <c r="A12" s="40"/>
      <c r="B12" s="5"/>
      <c r="C12" s="11"/>
      <c r="D12" s="12"/>
      <c r="E12" s="12"/>
      <c r="F12" s="12"/>
      <c r="G12" s="12"/>
      <c r="H12" s="83" t="s">
        <v>41</v>
      </c>
      <c r="I12" s="85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2"/>
      <c r="D13" s="12"/>
      <c r="E13" s="12"/>
      <c r="F13" s="12"/>
      <c r="G13" s="12"/>
      <c r="H13" s="657" t="s">
        <v>42</v>
      </c>
      <c r="I13" s="659"/>
      <c r="J13" s="86"/>
      <c r="K13" s="87"/>
      <c r="L13" s="115"/>
      <c r="M13" s="62"/>
    </row>
    <row r="14" spans="1:16" ht="23.25" customHeight="1">
      <c r="A14" s="40"/>
      <c r="B14" s="5"/>
      <c r="C14" s="12"/>
      <c r="D14" s="12"/>
      <c r="E14" s="12"/>
      <c r="F14" s="12"/>
      <c r="G14" s="12"/>
      <c r="H14" s="676" t="s">
        <v>43</v>
      </c>
      <c r="I14" s="677"/>
      <c r="J14" s="88"/>
      <c r="K14" s="89"/>
      <c r="L14" s="115"/>
      <c r="M14" s="62"/>
    </row>
    <row r="15" spans="1:16" ht="23.25" customHeight="1" thickBot="1">
      <c r="A15" s="40"/>
      <c r="B15" s="5"/>
      <c r="C15" s="12"/>
      <c r="D15" s="12"/>
      <c r="E15" s="12"/>
      <c r="F15" s="12"/>
      <c r="G15" s="12"/>
      <c r="H15" s="678" t="s">
        <v>20</v>
      </c>
      <c r="I15" s="678"/>
      <c r="J15" s="90">
        <f>SUM(J11:J12)</f>
        <v>20760</v>
      </c>
      <c r="K15" s="91">
        <f>SUM(K11:K12)</f>
        <v>5000</v>
      </c>
      <c r="L15" s="115"/>
      <c r="M15" s="62"/>
    </row>
    <row r="16" spans="1:16" ht="23.25" customHeight="1" thickTop="1">
      <c r="A16" s="40"/>
      <c r="B16" s="5"/>
      <c r="C16" s="12"/>
      <c r="D16" s="12"/>
      <c r="E16" s="12"/>
      <c r="F16" s="12"/>
      <c r="G16" s="12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13">
        <v>0.65</v>
      </c>
      <c r="D17" s="13">
        <v>0.7</v>
      </c>
      <c r="E17" s="13">
        <v>0.75</v>
      </c>
      <c r="F17" s="13">
        <v>0.8</v>
      </c>
      <c r="G17" s="13">
        <v>0.85</v>
      </c>
      <c r="H17" s="663" t="s">
        <v>46</v>
      </c>
      <c r="I17" s="664"/>
      <c r="J17" s="664"/>
      <c r="K17" s="665"/>
      <c r="L17" s="114">
        <f>'[1]6 เดือน'!$L$17</f>
        <v>1</v>
      </c>
      <c r="M17" s="61">
        <f>IF(L17=0,"-",L17*B17/B$94)</f>
        <v>0.05</v>
      </c>
    </row>
    <row r="18" spans="1:13" ht="23.25" customHeight="1">
      <c r="A18" s="40" t="s">
        <v>44</v>
      </c>
      <c r="B18" s="5"/>
      <c r="C18" s="12"/>
      <c r="D18" s="12"/>
      <c r="E18" s="12"/>
      <c r="F18" s="12"/>
      <c r="G18" s="12"/>
      <c r="H18" s="657" t="s">
        <v>47</v>
      </c>
      <c r="I18" s="658"/>
      <c r="J18" s="658"/>
      <c r="K18" s="659"/>
      <c r="L18" s="115"/>
      <c r="M18" s="62"/>
    </row>
    <row r="19" spans="1:13" ht="23.25" customHeight="1">
      <c r="A19" s="44"/>
      <c r="B19" s="5"/>
      <c r="C19" s="12"/>
      <c r="D19" s="12"/>
      <c r="E19" s="12"/>
      <c r="F19" s="12"/>
      <c r="G19" s="12"/>
      <c r="H19" s="657" t="s">
        <v>48</v>
      </c>
      <c r="I19" s="658"/>
      <c r="J19" s="658"/>
      <c r="K19" s="659"/>
      <c r="L19" s="115"/>
      <c r="M19" s="62"/>
    </row>
    <row r="20" spans="1:13" ht="23.25" customHeight="1">
      <c r="A20" s="44"/>
      <c r="B20" s="5"/>
      <c r="C20" s="12"/>
      <c r="D20" s="12"/>
      <c r="E20" s="12"/>
      <c r="F20" s="12"/>
      <c r="G20" s="12"/>
      <c r="H20" s="657" t="s">
        <v>49</v>
      </c>
      <c r="I20" s="658"/>
      <c r="J20" s="658"/>
      <c r="K20" s="659"/>
      <c r="L20" s="115"/>
      <c r="M20" s="62"/>
    </row>
    <row r="21" spans="1:13" ht="23.25" customHeight="1">
      <c r="A21" s="44"/>
      <c r="B21" s="5"/>
      <c r="C21" s="12"/>
      <c r="D21" s="12"/>
      <c r="E21" s="12"/>
      <c r="F21" s="12"/>
      <c r="G21" s="12"/>
      <c r="H21" s="657" t="s">
        <v>50</v>
      </c>
      <c r="I21" s="658"/>
      <c r="J21" s="658"/>
      <c r="K21" s="659"/>
      <c r="L21" s="115"/>
      <c r="M21" s="62"/>
    </row>
    <row r="22" spans="1:13" ht="23.25" customHeight="1">
      <c r="A22" s="44"/>
      <c r="B22" s="5"/>
      <c r="C22" s="12"/>
      <c r="D22" s="12"/>
      <c r="E22" s="12"/>
      <c r="F22" s="12"/>
      <c r="G22" s="12"/>
      <c r="H22" s="95"/>
      <c r="I22" s="51" t="s">
        <v>54</v>
      </c>
      <c r="J22" s="111" t="e">
        <f>'[1]6 เดือน'!$J$22</f>
        <v>#REF!</v>
      </c>
      <c r="K22" s="76" t="s">
        <v>51</v>
      </c>
      <c r="L22" s="115"/>
      <c r="M22" s="62"/>
    </row>
    <row r="23" spans="1:13" ht="23.25" customHeight="1">
      <c r="A23" s="45"/>
      <c r="B23" s="14"/>
      <c r="C23" s="6"/>
      <c r="D23" s="6"/>
      <c r="E23" s="6"/>
      <c r="F23" s="6"/>
      <c r="G23" s="6"/>
      <c r="H23" s="679"/>
      <c r="I23" s="669"/>
      <c r="J23" s="669"/>
      <c r="K23" s="670"/>
      <c r="L23" s="116"/>
      <c r="M23" s="63"/>
    </row>
    <row r="24" spans="1:13" ht="23.25" customHeight="1">
      <c r="A24" s="38" t="s">
        <v>53</v>
      </c>
      <c r="B24" s="109">
        <v>10</v>
      </c>
      <c r="C24" s="13">
        <v>0.73</v>
      </c>
      <c r="D24" s="13">
        <v>0.76</v>
      </c>
      <c r="E24" s="13">
        <v>0.79</v>
      </c>
      <c r="F24" s="13">
        <v>0.82</v>
      </c>
      <c r="G24" s="13">
        <v>0.85</v>
      </c>
      <c r="H24" s="664" t="s">
        <v>82</v>
      </c>
      <c r="I24" s="664"/>
      <c r="J24" s="664"/>
      <c r="K24" s="665"/>
      <c r="L24" s="114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2"/>
      <c r="D25" s="12"/>
      <c r="E25" s="12"/>
      <c r="F25" s="12"/>
      <c r="G25" s="12"/>
      <c r="H25" s="657" t="s">
        <v>83</v>
      </c>
      <c r="I25" s="658"/>
      <c r="J25" s="658"/>
      <c r="K25" s="659"/>
      <c r="L25" s="115"/>
      <c r="M25" s="62"/>
    </row>
    <row r="26" spans="1:13" ht="23.25" customHeight="1">
      <c r="A26" s="46"/>
      <c r="B26" s="5"/>
      <c r="C26" s="12"/>
      <c r="D26" s="12"/>
      <c r="E26" s="12"/>
      <c r="F26" s="12"/>
      <c r="G26" s="12"/>
      <c r="H26" s="657" t="s">
        <v>55</v>
      </c>
      <c r="I26" s="658"/>
      <c r="J26" s="658"/>
      <c r="K26" s="659"/>
      <c r="L26" s="115"/>
      <c r="M26" s="62"/>
    </row>
    <row r="27" spans="1:13" ht="23.25" customHeight="1">
      <c r="A27" s="46"/>
      <c r="B27" s="5"/>
      <c r="C27" s="12"/>
      <c r="D27" s="12"/>
      <c r="E27" s="12"/>
      <c r="F27" s="12"/>
      <c r="G27" s="12"/>
      <c r="H27" s="47"/>
      <c r="I27" s="48" t="s">
        <v>56</v>
      </c>
      <c r="J27" s="111">
        <v>29.4</v>
      </c>
      <c r="K27" s="76" t="s">
        <v>51</v>
      </c>
      <c r="L27" s="115"/>
      <c r="M27" s="62"/>
    </row>
    <row r="28" spans="1:13" ht="23.25" customHeight="1">
      <c r="A28" s="49"/>
      <c r="B28" s="14"/>
      <c r="C28" s="6"/>
      <c r="D28" s="6"/>
      <c r="E28" s="6"/>
      <c r="F28" s="6"/>
      <c r="G28" s="6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5">
        <v>0.92</v>
      </c>
      <c r="D29" s="15">
        <v>0.94</v>
      </c>
      <c r="E29" s="15">
        <v>0.96</v>
      </c>
      <c r="F29" s="15">
        <v>0.98</v>
      </c>
      <c r="G29" s="15">
        <v>1</v>
      </c>
      <c r="H29" s="663" t="s">
        <v>57</v>
      </c>
      <c r="I29" s="664"/>
      <c r="J29" s="664"/>
      <c r="K29" s="665"/>
      <c r="L29" s="114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2"/>
      <c r="D30" s="12"/>
      <c r="E30" s="12"/>
      <c r="F30" s="12"/>
      <c r="G30" s="12"/>
      <c r="H30" s="657" t="s">
        <v>58</v>
      </c>
      <c r="I30" s="658"/>
      <c r="J30" s="658"/>
      <c r="K30" s="659"/>
      <c r="L30" s="115"/>
      <c r="M30" s="62"/>
    </row>
    <row r="31" spans="1:13" ht="24.75" customHeight="1">
      <c r="A31" s="40" t="s">
        <v>24</v>
      </c>
      <c r="B31" s="5"/>
      <c r="C31" s="12"/>
      <c r="D31" s="12"/>
      <c r="E31" s="12"/>
      <c r="F31" s="12"/>
      <c r="G31" s="12"/>
      <c r="H31" s="657" t="s">
        <v>77</v>
      </c>
      <c r="I31" s="658"/>
      <c r="J31" s="658"/>
      <c r="K31" s="659"/>
      <c r="L31" s="115"/>
      <c r="M31" s="62"/>
    </row>
    <row r="32" spans="1:13" ht="24.75" customHeight="1">
      <c r="A32" s="46"/>
      <c r="B32" s="5"/>
      <c r="C32" s="12"/>
      <c r="D32" s="12"/>
      <c r="E32" s="12"/>
      <c r="F32" s="12"/>
      <c r="G32" s="12"/>
      <c r="H32" s="657" t="s">
        <v>59</v>
      </c>
      <c r="I32" s="658"/>
      <c r="J32" s="658"/>
      <c r="K32" s="659"/>
      <c r="L32" s="115"/>
      <c r="M32" s="62"/>
    </row>
    <row r="33" spans="1:13" ht="24.75" customHeight="1">
      <c r="A33" s="46"/>
      <c r="B33" s="5"/>
      <c r="C33" s="12"/>
      <c r="D33" s="12"/>
      <c r="E33" s="12"/>
      <c r="F33" s="12"/>
      <c r="G33" s="12"/>
      <c r="H33" s="75"/>
      <c r="I33" s="48" t="s">
        <v>56</v>
      </c>
      <c r="J33" s="111">
        <v>35.54</v>
      </c>
      <c r="K33" s="76" t="s">
        <v>51</v>
      </c>
      <c r="L33" s="115"/>
      <c r="M33" s="62"/>
    </row>
    <row r="34" spans="1:13" ht="24.75" customHeight="1">
      <c r="A34" s="46"/>
      <c r="B34" s="5"/>
      <c r="C34" s="12"/>
      <c r="D34" s="12"/>
      <c r="E34" s="12"/>
      <c r="F34" s="12"/>
      <c r="G34" s="12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5">
        <v>0.96</v>
      </c>
      <c r="D35" s="15">
        <v>0.97</v>
      </c>
      <c r="E35" s="15">
        <v>0.98</v>
      </c>
      <c r="F35" s="15">
        <v>0.99</v>
      </c>
      <c r="G35" s="15">
        <v>1</v>
      </c>
      <c r="H35" s="663" t="s">
        <v>73</v>
      </c>
      <c r="I35" s="664"/>
      <c r="J35" s="664"/>
      <c r="K35" s="665"/>
      <c r="L35" s="114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2"/>
      <c r="D36" s="12"/>
      <c r="E36" s="12"/>
      <c r="F36" s="12"/>
      <c r="G36" s="12"/>
      <c r="H36" s="671" t="s">
        <v>74</v>
      </c>
      <c r="I36" s="672"/>
      <c r="J36" s="672"/>
      <c r="K36" s="673"/>
      <c r="L36" s="115"/>
      <c r="M36" s="62"/>
    </row>
    <row r="37" spans="1:13" ht="24.75" customHeight="1">
      <c r="A37" s="46"/>
      <c r="B37" s="5"/>
      <c r="C37" s="12"/>
      <c r="D37" s="12"/>
      <c r="E37" s="12"/>
      <c r="F37" s="12"/>
      <c r="G37" s="12"/>
      <c r="H37" s="671" t="s">
        <v>75</v>
      </c>
      <c r="I37" s="672"/>
      <c r="J37" s="672"/>
      <c r="K37" s="673"/>
      <c r="L37" s="115"/>
      <c r="M37" s="62"/>
    </row>
    <row r="38" spans="1:13" ht="24.75" customHeight="1">
      <c r="A38" s="46"/>
      <c r="B38" s="5"/>
      <c r="C38" s="12"/>
      <c r="D38" s="12"/>
      <c r="E38" s="12"/>
      <c r="F38" s="12"/>
      <c r="G38" s="12"/>
      <c r="H38" s="671" t="s">
        <v>76</v>
      </c>
      <c r="I38" s="674"/>
      <c r="J38" s="674"/>
      <c r="K38" s="675"/>
      <c r="L38" s="115"/>
      <c r="M38" s="62"/>
    </row>
    <row r="39" spans="1:13" ht="24.75" customHeight="1">
      <c r="A39" s="46"/>
      <c r="B39" s="5"/>
      <c r="C39" s="12"/>
      <c r="D39" s="12"/>
      <c r="E39" s="12"/>
      <c r="F39" s="12"/>
      <c r="G39" s="12"/>
      <c r="H39" s="75"/>
      <c r="I39" s="48" t="s">
        <v>56</v>
      </c>
      <c r="J39" s="111">
        <v>87.99</v>
      </c>
      <c r="K39" s="76" t="s">
        <v>51</v>
      </c>
      <c r="L39" s="115"/>
      <c r="M39" s="62"/>
    </row>
    <row r="40" spans="1:13" ht="24.75" customHeight="1">
      <c r="A40" s="49"/>
      <c r="B40" s="14"/>
      <c r="C40" s="6"/>
      <c r="D40" s="6"/>
      <c r="E40" s="6"/>
      <c r="F40" s="6"/>
      <c r="G40" s="6"/>
      <c r="H40" s="96"/>
      <c r="I40" s="99"/>
      <c r="J40" s="99"/>
      <c r="K40" s="100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663" t="s">
        <v>62</v>
      </c>
      <c r="I41" s="664"/>
      <c r="J41" s="664"/>
      <c r="K41" s="665"/>
      <c r="L41" s="114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657" t="s">
        <v>63</v>
      </c>
      <c r="I42" s="658"/>
      <c r="J42" s="658"/>
      <c r="K42" s="659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657" t="s">
        <v>64</v>
      </c>
      <c r="I43" s="658"/>
      <c r="J43" s="658"/>
      <c r="K43" s="659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47" t="s">
        <v>65</v>
      </c>
      <c r="I44" s="51"/>
      <c r="J44" s="92"/>
      <c r="K44" s="101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47"/>
      <c r="I45" s="51" t="s">
        <v>66</v>
      </c>
      <c r="J45" s="111">
        <v>0</v>
      </c>
      <c r="K45" s="101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47"/>
      <c r="I46" s="51" t="s">
        <v>67</v>
      </c>
      <c r="J46" s="111">
        <v>0</v>
      </c>
      <c r="K46" s="101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75"/>
      <c r="I47" s="48" t="s">
        <v>81</v>
      </c>
      <c r="J47" s="111">
        <v>0</v>
      </c>
      <c r="K47" s="76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666"/>
      <c r="I48" s="669"/>
      <c r="J48" s="669"/>
      <c r="K48" s="670"/>
      <c r="L48" s="115"/>
      <c r="M48" s="62"/>
    </row>
    <row r="49" spans="1:13" ht="24.75" customHeight="1">
      <c r="A49" s="38" t="s">
        <v>68</v>
      </c>
      <c r="B49" s="109">
        <v>5</v>
      </c>
      <c r="C49" s="15">
        <v>0.5</v>
      </c>
      <c r="D49" s="15">
        <v>0.75</v>
      </c>
      <c r="E49" s="15">
        <v>1</v>
      </c>
      <c r="F49" s="15">
        <v>1</v>
      </c>
      <c r="G49" s="15">
        <v>1</v>
      </c>
      <c r="H49" s="663" t="s">
        <v>78</v>
      </c>
      <c r="I49" s="664"/>
      <c r="J49" s="664"/>
      <c r="K49" s="665"/>
      <c r="L49" s="114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18"/>
      <c r="D50" s="18"/>
      <c r="E50" s="18"/>
      <c r="F50" s="18" t="s">
        <v>70</v>
      </c>
      <c r="G50" s="18" t="s">
        <v>70</v>
      </c>
      <c r="H50" s="658" t="s">
        <v>79</v>
      </c>
      <c r="I50" s="658"/>
      <c r="J50" s="658"/>
      <c r="K50" s="659"/>
      <c r="L50" s="115"/>
      <c r="M50" s="62"/>
    </row>
    <row r="51" spans="1:13" ht="24.75" customHeight="1">
      <c r="A51" s="40"/>
      <c r="B51" s="3"/>
      <c r="C51" s="18"/>
      <c r="D51" s="18"/>
      <c r="E51" s="18"/>
      <c r="F51" s="18" t="s">
        <v>71</v>
      </c>
      <c r="G51" s="18" t="s">
        <v>72</v>
      </c>
      <c r="H51" s="658" t="s">
        <v>80</v>
      </c>
      <c r="I51" s="658"/>
      <c r="J51" s="658"/>
      <c r="K51" s="659"/>
      <c r="L51" s="115"/>
      <c r="M51" s="62"/>
    </row>
    <row r="52" spans="1:13" ht="24.75" customHeight="1">
      <c r="A52" s="40"/>
      <c r="B52" s="3"/>
      <c r="C52" s="19"/>
      <c r="D52" s="19"/>
      <c r="E52" s="19"/>
      <c r="F52" s="19"/>
      <c r="G52" s="19"/>
      <c r="H52" s="75"/>
      <c r="I52" s="48" t="s">
        <v>56</v>
      </c>
      <c r="J52" s="111">
        <v>0</v>
      </c>
      <c r="K52" s="76" t="s">
        <v>51</v>
      </c>
      <c r="L52" s="115"/>
      <c r="M52" s="62"/>
    </row>
    <row r="53" spans="1:13" ht="25.5">
      <c r="A53" s="50"/>
      <c r="B53" s="14"/>
      <c r="C53" s="6"/>
      <c r="D53" s="6"/>
      <c r="E53" s="6"/>
      <c r="F53" s="6"/>
      <c r="G53" s="6"/>
      <c r="H53" s="666"/>
      <c r="I53" s="667"/>
      <c r="J53" s="667"/>
      <c r="K53" s="668"/>
      <c r="L53" s="116"/>
      <c r="M53" s="63"/>
    </row>
    <row r="54" spans="1:13" ht="24.75" customHeight="1">
      <c r="A54" s="38" t="s">
        <v>84</v>
      </c>
      <c r="B54" s="109">
        <v>10</v>
      </c>
      <c r="C54" s="15">
        <v>0.78</v>
      </c>
      <c r="D54" s="15">
        <v>0.81</v>
      </c>
      <c r="E54" s="15">
        <v>0.84</v>
      </c>
      <c r="F54" s="15">
        <v>0.87</v>
      </c>
      <c r="G54" s="15">
        <v>0.9</v>
      </c>
      <c r="H54" s="663" t="s">
        <v>99</v>
      </c>
      <c r="I54" s="664"/>
      <c r="J54" s="664"/>
      <c r="K54" s="665"/>
      <c r="L54" s="114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657" t="s">
        <v>100</v>
      </c>
      <c r="I55" s="658"/>
      <c r="J55" s="658"/>
      <c r="K55" s="659"/>
      <c r="L55" s="115"/>
      <c r="M55" s="62"/>
    </row>
    <row r="56" spans="1:13" ht="24.75" customHeight="1">
      <c r="A56" s="46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3468.08</v>
      </c>
      <c r="K56" s="76" t="s">
        <v>34</v>
      </c>
      <c r="L56" s="115"/>
      <c r="M56" s="62"/>
    </row>
    <row r="57" spans="1:13" ht="24.75" customHeight="1">
      <c r="A57" s="46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1674.66</v>
      </c>
      <c r="K57" s="76" t="s">
        <v>34</v>
      </c>
      <c r="L57" s="115"/>
      <c r="M57" s="62"/>
    </row>
    <row r="58" spans="1:13" ht="24.75" customHeight="1">
      <c r="A58" s="46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48.287813429909349</v>
      </c>
      <c r="K58" s="76" t="s">
        <v>51</v>
      </c>
      <c r="L58" s="115"/>
      <c r="M58" s="62"/>
    </row>
    <row r="59" spans="1:13" ht="27.75" customHeight="1">
      <c r="A59" s="49"/>
      <c r="B59" s="14"/>
      <c r="C59" s="20"/>
      <c r="D59" s="20"/>
      <c r="E59" s="20"/>
      <c r="F59" s="20"/>
      <c r="G59" s="20"/>
      <c r="H59" s="102"/>
      <c r="I59" s="99"/>
      <c r="J59" s="103"/>
      <c r="K59" s="100"/>
      <c r="L59" s="116"/>
      <c r="M59" s="63"/>
    </row>
    <row r="60" spans="1:13" ht="24.75" customHeight="1">
      <c r="A60" s="38" t="s">
        <v>89</v>
      </c>
      <c r="B60" s="109">
        <v>5</v>
      </c>
      <c r="C60" s="15">
        <v>0.6</v>
      </c>
      <c r="D60" s="15">
        <v>0.65</v>
      </c>
      <c r="E60" s="15">
        <v>0.7</v>
      </c>
      <c r="F60" s="15">
        <v>0.75</v>
      </c>
      <c r="G60" s="15">
        <v>0.8</v>
      </c>
      <c r="H60" s="663" t="s">
        <v>92</v>
      </c>
      <c r="I60" s="664"/>
      <c r="J60" s="664"/>
      <c r="K60" s="665"/>
      <c r="L60" s="114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1"/>
      <c r="D61" s="21"/>
      <c r="E61" s="21"/>
      <c r="F61" s="21"/>
      <c r="G61" s="21"/>
      <c r="H61" s="657" t="s">
        <v>93</v>
      </c>
      <c r="I61" s="658"/>
      <c r="J61" s="658"/>
      <c r="K61" s="659"/>
      <c r="L61" s="115"/>
      <c r="M61" s="62"/>
    </row>
    <row r="62" spans="1:13" ht="24.75" customHeight="1">
      <c r="A62" s="40" t="s">
        <v>91</v>
      </c>
      <c r="B62" s="5"/>
      <c r="C62" s="12"/>
      <c r="D62" s="12"/>
      <c r="E62" s="12"/>
      <c r="F62" s="12"/>
      <c r="G62" s="12"/>
      <c r="H62" s="657" t="s">
        <v>94</v>
      </c>
      <c r="I62" s="658"/>
      <c r="J62" s="658"/>
      <c r="K62" s="659"/>
      <c r="L62" s="115"/>
      <c r="M62" s="62"/>
    </row>
    <row r="63" spans="1:13" ht="24.75" customHeight="1">
      <c r="A63" s="40"/>
      <c r="B63" s="5"/>
      <c r="C63" s="12"/>
      <c r="D63" s="12"/>
      <c r="E63" s="12"/>
      <c r="F63" s="12"/>
      <c r="G63" s="12"/>
      <c r="H63" s="75" t="s">
        <v>95</v>
      </c>
      <c r="I63" s="84"/>
      <c r="J63" s="84"/>
      <c r="K63" s="76"/>
      <c r="L63" s="115"/>
      <c r="M63" s="62"/>
    </row>
    <row r="64" spans="1:13" ht="24.75" customHeight="1">
      <c r="A64" s="40"/>
      <c r="B64" s="5"/>
      <c r="C64" s="12"/>
      <c r="D64" s="12"/>
      <c r="E64" s="12"/>
      <c r="F64" s="12"/>
      <c r="G64" s="12"/>
      <c r="H64" s="47"/>
      <c r="I64" s="51" t="s">
        <v>97</v>
      </c>
      <c r="J64" s="111">
        <v>0</v>
      </c>
      <c r="K64" s="101" t="s">
        <v>96</v>
      </c>
      <c r="L64" s="115"/>
      <c r="M64" s="62"/>
    </row>
    <row r="65" spans="1:32" ht="24.75" customHeight="1">
      <c r="A65" s="46"/>
      <c r="B65" s="5"/>
      <c r="C65" s="12"/>
      <c r="D65" s="12"/>
      <c r="E65" s="12"/>
      <c r="F65" s="12"/>
      <c r="G65" s="12"/>
      <c r="H65" s="47"/>
      <c r="I65" s="51" t="s">
        <v>98</v>
      </c>
      <c r="J65" s="111">
        <v>0</v>
      </c>
      <c r="K65" s="101" t="s">
        <v>96</v>
      </c>
      <c r="L65" s="115"/>
      <c r="M65" s="62"/>
    </row>
    <row r="66" spans="1:32" ht="24.75" customHeight="1">
      <c r="A66" s="46"/>
      <c r="B66" s="5"/>
      <c r="C66" s="12"/>
      <c r="D66" s="12"/>
      <c r="E66" s="12"/>
      <c r="F66" s="12"/>
      <c r="G66" s="12"/>
      <c r="H66" s="75"/>
      <c r="I66" s="51" t="s">
        <v>35</v>
      </c>
      <c r="J66" s="111">
        <v>0</v>
      </c>
      <c r="K66" s="76" t="s">
        <v>51</v>
      </c>
      <c r="L66" s="115"/>
      <c r="M66" s="62"/>
    </row>
    <row r="67" spans="1:32" ht="24.75" customHeight="1">
      <c r="A67" s="46"/>
      <c r="B67" s="5"/>
      <c r="C67" s="12"/>
      <c r="D67" s="12"/>
      <c r="E67" s="12"/>
      <c r="F67" s="12"/>
      <c r="G67" s="12"/>
      <c r="H67" s="48"/>
      <c r="I67" s="104"/>
      <c r="J67" s="104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663" t="s">
        <v>103</v>
      </c>
      <c r="I68" s="664"/>
      <c r="J68" s="664"/>
      <c r="K68" s="665"/>
      <c r="L68" s="114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657" t="s">
        <v>104</v>
      </c>
      <c r="I69" s="658"/>
      <c r="J69" s="658"/>
      <c r="K69" s="659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657" t="s">
        <v>105</v>
      </c>
      <c r="I70" s="658"/>
      <c r="J70" s="658"/>
      <c r="K70" s="659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76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63" t="s">
        <v>108</v>
      </c>
      <c r="I73" s="664"/>
      <c r="J73" s="664"/>
      <c r="K73" s="665"/>
      <c r="L73" s="114">
        <f>'[1]6 เดือน'!$L$73</f>
        <v>1</v>
      </c>
      <c r="M73" s="61">
        <f>IF(L73=0,"-",L73*B73/B$94)</f>
        <v>0.05</v>
      </c>
      <c r="P73" s="1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57" t="s">
        <v>109</v>
      </c>
      <c r="I74" s="658"/>
      <c r="J74" s="658"/>
      <c r="K74" s="659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657" t="s">
        <v>110</v>
      </c>
      <c r="I75" s="658"/>
      <c r="J75" s="658"/>
      <c r="K75" s="659"/>
      <c r="L75" s="115"/>
      <c r="M75" s="62"/>
      <c r="P75" s="52"/>
      <c r="Q75" s="52"/>
    </row>
    <row r="76" spans="1:32" ht="24.75" customHeight="1">
      <c r="A76" s="40"/>
      <c r="B76" s="5"/>
      <c r="C76" s="23"/>
      <c r="D76" s="23"/>
      <c r="E76" s="23"/>
      <c r="F76" s="23"/>
      <c r="G76" s="23"/>
      <c r="H76" s="657" t="s">
        <v>111</v>
      </c>
      <c r="I76" s="658"/>
      <c r="J76" s="658"/>
      <c r="K76" s="659"/>
      <c r="L76" s="115"/>
      <c r="M76" s="62"/>
      <c r="P76" s="52"/>
      <c r="Q76" s="52"/>
    </row>
    <row r="77" spans="1:32" ht="24.75" customHeight="1">
      <c r="A77" s="40"/>
      <c r="B77" s="5"/>
      <c r="C77" s="23"/>
      <c r="D77" s="23"/>
      <c r="E77" s="23"/>
      <c r="F77" s="23"/>
      <c r="G77" s="23"/>
      <c r="H77" s="75"/>
      <c r="I77" s="51" t="s">
        <v>112</v>
      </c>
      <c r="J77" s="111">
        <v>0</v>
      </c>
      <c r="K77" s="101"/>
      <c r="L77" s="115"/>
      <c r="M77" s="62"/>
      <c r="P77" s="53"/>
      <c r="Q77" s="53"/>
      <c r="R77" s="5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99"/>
      <c r="J78" s="99"/>
      <c r="K78" s="100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663" t="s">
        <v>123</v>
      </c>
      <c r="I79" s="664"/>
      <c r="J79" s="664"/>
      <c r="K79" s="665"/>
      <c r="L79" s="114">
        <f>'[1]7 เดือน'!$L$79</f>
        <v>4.4117647058823541</v>
      </c>
      <c r="M79" s="61">
        <f>IF(L79=0,"-",L79*B79/B$94)</f>
        <v>0.22058823529411772</v>
      </c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75" t="s">
        <v>124</v>
      </c>
      <c r="I80" s="92"/>
      <c r="J80" s="108"/>
      <c r="K80" s="105"/>
      <c r="L80" s="117"/>
      <c r="M80" s="62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</row>
    <row r="81" spans="1:32" ht="24.75" customHeight="1">
      <c r="A81" s="56"/>
      <c r="B81" s="27"/>
      <c r="C81" s="17"/>
      <c r="D81" s="17"/>
      <c r="E81" s="17"/>
      <c r="F81" s="17"/>
      <c r="G81" s="17"/>
      <c r="H81" s="84" t="s">
        <v>125</v>
      </c>
      <c r="I81" s="92"/>
      <c r="J81" s="108"/>
      <c r="K81" s="105"/>
      <c r="L81" s="117"/>
      <c r="M81" s="62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</row>
    <row r="82" spans="1:32" ht="24.75" customHeight="1">
      <c r="A82" s="56"/>
      <c r="B82" s="27"/>
      <c r="C82" s="17"/>
      <c r="D82" s="17"/>
      <c r="E82" s="17"/>
      <c r="F82" s="17"/>
      <c r="G82" s="17"/>
      <c r="H82" s="75" t="s">
        <v>126</v>
      </c>
      <c r="I82" s="92"/>
      <c r="J82" s="108"/>
      <c r="K82" s="105"/>
      <c r="L82" s="117"/>
      <c r="M82" s="62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</row>
    <row r="83" spans="1:32" ht="24.75" customHeight="1">
      <c r="A83" s="56"/>
      <c r="B83" s="27"/>
      <c r="C83" s="17"/>
      <c r="D83" s="17"/>
      <c r="E83" s="17"/>
      <c r="F83" s="17"/>
      <c r="G83" s="17"/>
      <c r="H83" s="75" t="s">
        <v>127</v>
      </c>
      <c r="I83" s="92"/>
      <c r="J83" s="108"/>
      <c r="K83" s="105"/>
      <c r="L83" s="117"/>
      <c r="M83" s="62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</row>
    <row r="84" spans="1:32" ht="24.75" customHeight="1">
      <c r="A84" s="56"/>
      <c r="B84" s="27"/>
      <c r="C84" s="17"/>
      <c r="D84" s="17"/>
      <c r="E84" s="17"/>
      <c r="F84" s="17"/>
      <c r="G84" s="17"/>
      <c r="H84" s="75"/>
      <c r="I84" s="51" t="s">
        <v>114</v>
      </c>
      <c r="J84" s="112">
        <f>'[1]7 เดือน'!$L$79</f>
        <v>4.4117647058823541</v>
      </c>
      <c r="K84" s="101"/>
      <c r="L84" s="117"/>
      <c r="M84" s="62"/>
      <c r="O84" s="58"/>
      <c r="P84" s="58"/>
      <c r="Q84" s="58"/>
      <c r="R84" s="58"/>
      <c r="S84" s="58"/>
      <c r="T84" s="58"/>
      <c r="U84" s="58"/>
      <c r="V84" s="59"/>
      <c r="W84" s="58"/>
      <c r="X84" s="58"/>
      <c r="Y84" s="58"/>
      <c r="Z84" s="58"/>
      <c r="AA84" s="58"/>
      <c r="AB84" s="58"/>
      <c r="AC84" s="58"/>
      <c r="AD84" s="58"/>
      <c r="AE84" s="58"/>
      <c r="AF84" s="58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99"/>
      <c r="J85" s="99"/>
      <c r="K85" s="100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663" t="s">
        <v>117</v>
      </c>
      <c r="I86" s="664"/>
      <c r="J86" s="664"/>
      <c r="K86" s="665"/>
      <c r="L86" s="114">
        <f>'[1]7 เดือน'!$L$86</f>
        <v>3.5555555555555554</v>
      </c>
      <c r="M86" s="61">
        <f>IF(L86=0,"-",L86*B86/B$94)</f>
        <v>0.17777777777777778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657" t="s">
        <v>118</v>
      </c>
      <c r="I87" s="658"/>
      <c r="J87" s="658"/>
      <c r="K87" s="659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657" t="s">
        <v>119</v>
      </c>
      <c r="I88" s="658"/>
      <c r="J88" s="658"/>
      <c r="K88" s="659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75" t="s">
        <v>120</v>
      </c>
      <c r="I89" s="84"/>
      <c r="J89" s="84"/>
      <c r="K89" s="76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75" t="s">
        <v>121</v>
      </c>
      <c r="I90" s="84"/>
      <c r="J90" s="84"/>
      <c r="K90" s="76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v>0</v>
      </c>
      <c r="K91" s="76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660" t="s">
        <v>129</v>
      </c>
      <c r="B93" s="661"/>
      <c r="C93" s="661"/>
      <c r="D93" s="661"/>
      <c r="E93" s="661"/>
      <c r="F93" s="661"/>
      <c r="G93" s="661"/>
      <c r="H93" s="661"/>
      <c r="I93" s="661"/>
      <c r="J93" s="661"/>
      <c r="K93" s="661"/>
      <c r="L93" s="662"/>
      <c r="M93" s="67">
        <f>SUM(M86,M79,M73,M68,M60,M54,M49,M41,M35,M29,M24,M17,M9,M6)</f>
        <v>1.4338660130718957</v>
      </c>
    </row>
    <row r="94" spans="1:32">
      <c r="B94" s="82">
        <f>SUM(B6:B92)</f>
        <v>100</v>
      </c>
    </row>
  </sheetData>
  <customSheetViews>
    <customSheetView guid="{ED89CF83-5DE1-46A5-8666-D9B25B932357}" scale="80">
      <selection activeCell="H6" sqref="H6:H7"/>
      <pageMargins left="0.19685039370078741" right="0.19685039370078741" top="0.55118110236220474" bottom="0.27559055118110237" header="0.19685039370078741" footer="0.47244094488188981"/>
      <printOptions horizontalCentered="1"/>
      <pageSetup paperSize="9" scale="80" orientation="landscape" r:id="rId1"/>
      <headerFooter scaleWithDoc="0">
        <oddHeader>&amp;R&amp;"TH SarabunIT๙,ธรรมดา"&amp;16&amp;P</oddHeader>
      </headerFooter>
    </customSheetView>
  </customSheetViews>
  <mergeCells count="53">
    <mergeCell ref="H9:I10"/>
    <mergeCell ref="J9:K9"/>
    <mergeCell ref="H11:I11"/>
    <mergeCell ref="H13:I13"/>
    <mergeCell ref="A1:M1"/>
    <mergeCell ref="A2:M2"/>
    <mergeCell ref="C4:G4"/>
    <mergeCell ref="H4:K5"/>
    <mergeCell ref="L4:L5"/>
    <mergeCell ref="H14:I14"/>
    <mergeCell ref="H15:I15"/>
    <mergeCell ref="H24:K24"/>
    <mergeCell ref="H25:K25"/>
    <mergeCell ref="H26:K26"/>
    <mergeCell ref="H17:K17"/>
    <mergeCell ref="H18:K18"/>
    <mergeCell ref="H19:K19"/>
    <mergeCell ref="H20:K20"/>
    <mergeCell ref="H21:K21"/>
    <mergeCell ref="H23:K23"/>
    <mergeCell ref="H29:K29"/>
    <mergeCell ref="H30:K30"/>
    <mergeCell ref="H31:K31"/>
    <mergeCell ref="H32:K32"/>
    <mergeCell ref="H55:K55"/>
    <mergeCell ref="H43:K43"/>
    <mergeCell ref="H48:K48"/>
    <mergeCell ref="H35:K35"/>
    <mergeCell ref="H36:K36"/>
    <mergeCell ref="H37:K37"/>
    <mergeCell ref="H38:K38"/>
    <mergeCell ref="H41:K41"/>
    <mergeCell ref="H42:K42"/>
    <mergeCell ref="H54:K54"/>
    <mergeCell ref="H49:K49"/>
    <mergeCell ref="H50:K50"/>
    <mergeCell ref="H51:K51"/>
    <mergeCell ref="H53:K53"/>
    <mergeCell ref="H60:K60"/>
    <mergeCell ref="H61:K61"/>
    <mergeCell ref="H62:K62"/>
    <mergeCell ref="H74:K74"/>
    <mergeCell ref="H68:K68"/>
    <mergeCell ref="H69:K69"/>
    <mergeCell ref="H70:K70"/>
    <mergeCell ref="H73:K73"/>
    <mergeCell ref="H75:K75"/>
    <mergeCell ref="H76:K76"/>
    <mergeCell ref="A93:L93"/>
    <mergeCell ref="H86:K86"/>
    <mergeCell ref="H87:K87"/>
    <mergeCell ref="H88:K88"/>
    <mergeCell ref="H79:K79"/>
  </mergeCells>
  <printOptions horizontalCentered="1"/>
  <pageMargins left="0.19685039370078741" right="0.19685039370078741" top="0.55118110236220474" bottom="0.27559055118110237" header="0.19685039370078741" footer="0.47244094488188981"/>
  <pageSetup paperSize="9" scale="80" orientation="landscape" r:id="rId2"/>
  <headerFooter scaleWithDoc="0">
    <oddHeader>&amp;R&amp;"TH SarabunIT๙,ธรรมดา"&amp;16&amp;P</oddHeader>
  </headerFooter>
  <ignoredErrors>
    <ignoredError sqref="L17 L9 J22 L24 L29 L41 L49 J58 L60 L68 L73 L6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>
  <dimension ref="A1:AB75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65.28515625" style="292" bestFit="1" customWidth="1"/>
    <col min="16" max="16" width="4.85546875" style="292" bestFit="1" customWidth="1"/>
    <col min="17" max="17" width="16.5703125" style="292" bestFit="1" customWidth="1"/>
    <col min="18" max="18" width="12.140625" style="292" bestFit="1" customWidth="1"/>
    <col min="19" max="19" width="9.140625" style="292"/>
    <col min="20" max="21" width="9.85546875" style="292" bestFit="1" customWidth="1"/>
    <col min="22" max="22" width="9.140625" style="292"/>
    <col min="23" max="24" width="9.85546875" style="292" bestFit="1" customWidth="1"/>
    <col min="25" max="16384" width="9.140625" style="292"/>
  </cols>
  <sheetData>
    <row r="1" spans="1:28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28" ht="24" customHeight="1">
      <c r="A2" s="710" t="s">
        <v>380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28" ht="24" customHeight="1">
      <c r="A3" s="293" t="s">
        <v>321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</row>
    <row r="5" spans="1:28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34"/>
      <c r="I5" s="735"/>
      <c r="J5" s="735"/>
      <c r="K5" s="736"/>
      <c r="L5" s="719"/>
      <c r="M5" s="301" t="s">
        <v>9</v>
      </c>
    </row>
    <row r="6" spans="1:28" ht="24" customHeight="1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726" t="s">
        <v>141</v>
      </c>
      <c r="I6" s="722"/>
      <c r="J6" s="722"/>
      <c r="K6" s="723"/>
      <c r="L6" s="304">
        <v>1</v>
      </c>
      <c r="M6" s="305">
        <f>IF(L6=0,"-",ROUND(L6*B6/B$75,4))</f>
        <v>6.6699999999999995E-2</v>
      </c>
      <c r="N6" s="429" t="s">
        <v>214</v>
      </c>
      <c r="Q6" s="580"/>
      <c r="S6" s="356"/>
      <c r="T6" s="356"/>
      <c r="U6" s="356"/>
      <c r="V6" s="356"/>
      <c r="W6" s="356"/>
      <c r="X6" s="356"/>
      <c r="Y6" s="356"/>
      <c r="Z6" s="356"/>
      <c r="AA6" s="356"/>
      <c r="AB6" s="356"/>
    </row>
    <row r="7" spans="1:28" ht="24" customHeight="1">
      <c r="A7" s="309" t="s">
        <v>44</v>
      </c>
      <c r="B7" s="399"/>
      <c r="C7" s="320"/>
      <c r="D7" s="320"/>
      <c r="E7" s="320"/>
      <c r="F7" s="320"/>
      <c r="G7" s="320"/>
      <c r="H7" s="720" t="s">
        <v>142</v>
      </c>
      <c r="I7" s="724"/>
      <c r="J7" s="724"/>
      <c r="K7" s="721"/>
      <c r="L7" s="307"/>
      <c r="M7" s="308"/>
      <c r="N7" s="429"/>
      <c r="Q7" s="580"/>
      <c r="R7" s="580"/>
      <c r="S7" s="356"/>
      <c r="T7" s="356"/>
      <c r="U7" s="356"/>
      <c r="V7" s="356"/>
      <c r="W7" s="356"/>
      <c r="X7" s="356"/>
      <c r="Y7" s="356"/>
      <c r="Z7" s="356"/>
      <c r="AA7" s="356"/>
      <c r="AB7" s="356"/>
    </row>
    <row r="8" spans="1:28" ht="24" customHeight="1">
      <c r="A8" s="309"/>
      <c r="B8" s="399"/>
      <c r="C8" s="320"/>
      <c r="D8" s="320"/>
      <c r="E8" s="320"/>
      <c r="F8" s="320"/>
      <c r="G8" s="320"/>
      <c r="H8" s="720" t="s">
        <v>143</v>
      </c>
      <c r="I8" s="724"/>
      <c r="J8" s="724"/>
      <c r="K8" s="721"/>
      <c r="L8" s="307"/>
      <c r="M8" s="308"/>
    </row>
    <row r="9" spans="1:28" ht="23.25">
      <c r="A9" s="309"/>
      <c r="B9" s="399"/>
      <c r="C9" s="320"/>
      <c r="D9" s="320"/>
      <c r="E9" s="320"/>
      <c r="F9" s="320"/>
      <c r="G9" s="320"/>
      <c r="H9" s="720" t="s">
        <v>144</v>
      </c>
      <c r="I9" s="724"/>
      <c r="J9" s="724"/>
      <c r="K9" s="721"/>
      <c r="L9" s="307"/>
      <c r="M9" s="308"/>
      <c r="Q9" s="560"/>
      <c r="R9" s="561"/>
      <c r="S9" s="446"/>
      <c r="T9" s="579"/>
      <c r="U9" s="579"/>
      <c r="V9" s="445"/>
      <c r="W9" s="445"/>
      <c r="X9" s="445"/>
      <c r="Y9" s="445"/>
    </row>
    <row r="10" spans="1:28" ht="23.25">
      <c r="A10" s="309"/>
      <c r="B10" s="399"/>
      <c r="C10" s="320"/>
      <c r="D10" s="320"/>
      <c r="E10" s="320"/>
      <c r="F10" s="320"/>
      <c r="G10" s="320"/>
      <c r="H10" s="720" t="s">
        <v>170</v>
      </c>
      <c r="I10" s="724"/>
      <c r="J10" s="724"/>
      <c r="K10" s="721"/>
      <c r="L10" s="307"/>
      <c r="M10" s="308"/>
      <c r="Q10" s="560"/>
      <c r="R10" s="561"/>
      <c r="S10" s="446"/>
      <c r="T10" s="579"/>
      <c r="U10" s="579"/>
      <c r="V10" s="445"/>
      <c r="W10" s="445"/>
      <c r="X10" s="445"/>
      <c r="Y10" s="445"/>
    </row>
    <row r="11" spans="1:28" ht="23.25">
      <c r="A11" s="309"/>
      <c r="B11" s="399"/>
      <c r="C11" s="320"/>
      <c r="D11" s="320"/>
      <c r="E11" s="320"/>
      <c r="F11" s="320"/>
      <c r="G11" s="320"/>
      <c r="I11" s="323" t="s">
        <v>54</v>
      </c>
      <c r="J11" s="324" t="s">
        <v>11</v>
      </c>
      <c r="K11" s="532" t="s">
        <v>51</v>
      </c>
      <c r="L11" s="307"/>
      <c r="M11" s="308"/>
    </row>
    <row r="12" spans="1:28" ht="23.25">
      <c r="A12" s="325"/>
      <c r="B12" s="402"/>
      <c r="C12" s="310"/>
      <c r="D12" s="310"/>
      <c r="E12" s="310"/>
      <c r="F12" s="310"/>
      <c r="G12" s="310"/>
      <c r="H12" s="705" t="s">
        <v>212</v>
      </c>
      <c r="I12" s="706"/>
      <c r="J12" s="706"/>
      <c r="K12" s="707"/>
      <c r="L12" s="326"/>
      <c r="M12" s="299"/>
      <c r="Q12" s="530" t="s">
        <v>229</v>
      </c>
      <c r="R12" s="530" t="s">
        <v>240</v>
      </c>
    </row>
    <row r="13" spans="1:28" ht="23.2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722" t="s">
        <v>171</v>
      </c>
      <c r="I13" s="722"/>
      <c r="J13" s="722"/>
      <c r="K13" s="723"/>
      <c r="L13" s="304">
        <f>4+O16</f>
        <v>4.2423868606162882</v>
      </c>
      <c r="M13" s="305">
        <f>IF(L13=0,"-",ROUND(L13*B13/B$75,4))</f>
        <v>0.84850000000000003</v>
      </c>
      <c r="N13" s="429" t="s">
        <v>199</v>
      </c>
      <c r="O13" s="454" t="s">
        <v>381</v>
      </c>
      <c r="P13" s="456"/>
      <c r="Q13" s="457">
        <v>292983000</v>
      </c>
      <c r="R13" s="577">
        <v>97.046999999999997</v>
      </c>
      <c r="S13" s="292" t="s">
        <v>51</v>
      </c>
    </row>
    <row r="14" spans="1:28" ht="23.25">
      <c r="A14" s="309" t="s">
        <v>21</v>
      </c>
      <c r="B14" s="352"/>
      <c r="C14" s="320"/>
      <c r="D14" s="320"/>
      <c r="E14" s="320"/>
      <c r="F14" s="320"/>
      <c r="G14" s="320"/>
      <c r="H14" s="720" t="s">
        <v>83</v>
      </c>
      <c r="I14" s="724"/>
      <c r="J14" s="724"/>
      <c r="K14" s="721"/>
      <c r="L14" s="307"/>
      <c r="M14" s="308"/>
      <c r="N14" s="429" t="s">
        <v>237</v>
      </c>
      <c r="O14" s="454" t="s">
        <v>382</v>
      </c>
      <c r="P14" s="456"/>
      <c r="Q14" s="457">
        <v>55458000</v>
      </c>
      <c r="R14" s="577">
        <v>68</v>
      </c>
      <c r="S14" s="292" t="s">
        <v>51</v>
      </c>
    </row>
    <row r="15" spans="1:28" ht="23.25">
      <c r="A15" s="309"/>
      <c r="B15" s="352"/>
      <c r="C15" s="320"/>
      <c r="D15" s="320"/>
      <c r="E15" s="320"/>
      <c r="F15" s="320"/>
      <c r="G15" s="320"/>
      <c r="H15" s="720" t="s">
        <v>172</v>
      </c>
      <c r="I15" s="724"/>
      <c r="J15" s="724"/>
      <c r="K15" s="721"/>
      <c r="L15" s="307"/>
      <c r="M15" s="308"/>
      <c r="N15" s="604">
        <v>10</v>
      </c>
      <c r="O15" s="605">
        <v>1</v>
      </c>
      <c r="P15" s="292" t="s">
        <v>349</v>
      </c>
      <c r="Q15" s="451">
        <f>SUM(Q13:Q14)</f>
        <v>348441000</v>
      </c>
      <c r="R15" s="580"/>
    </row>
    <row r="16" spans="1:28" ht="23.2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32"/>
      <c r="L16" s="307"/>
      <c r="M16" s="308"/>
      <c r="N16" s="606">
        <f>J18-90</f>
        <v>2.423868606162884</v>
      </c>
      <c r="O16" s="605">
        <f>O15*N16/N15</f>
        <v>0.24238686061628839</v>
      </c>
      <c r="Q16" s="440">
        <f>((R13*Q13)+(R14*Q14))/Q15</f>
        <v>92.423868606162884</v>
      </c>
      <c r="R16" s="292" t="s">
        <v>51</v>
      </c>
    </row>
    <row r="17" spans="1:27" ht="23.2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32"/>
      <c r="L17" s="307"/>
      <c r="M17" s="308"/>
      <c r="N17" s="429"/>
    </row>
    <row r="18" spans="1:27" ht="23.2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570">
        <f>Q16</f>
        <v>92.423868606162884</v>
      </c>
      <c r="K18" s="532" t="s">
        <v>51</v>
      </c>
      <c r="L18" s="307"/>
      <c r="M18" s="308"/>
      <c r="N18" s="429"/>
    </row>
    <row r="19" spans="1:27" ht="23.2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  <c r="N19" s="429"/>
      <c r="Q19" s="530" t="s">
        <v>229</v>
      </c>
      <c r="R19" s="530" t="s">
        <v>330</v>
      </c>
      <c r="S19" s="530" t="s">
        <v>51</v>
      </c>
    </row>
    <row r="20" spans="1:27" ht="25.5">
      <c r="A20" s="302" t="s">
        <v>179</v>
      </c>
      <c r="B20" s="403">
        <v>4</v>
      </c>
      <c r="C20" s="332">
        <v>0.5</v>
      </c>
      <c r="D20" s="332">
        <v>0.75</v>
      </c>
      <c r="E20" s="332">
        <v>1</v>
      </c>
      <c r="F20" s="332">
        <v>1</v>
      </c>
      <c r="G20" s="332">
        <v>1</v>
      </c>
      <c r="H20" s="726" t="s">
        <v>57</v>
      </c>
      <c r="I20" s="722"/>
      <c r="J20" s="722"/>
      <c r="K20" s="723"/>
      <c r="L20" s="304">
        <f>2+O24</f>
        <v>2.6343185684210528</v>
      </c>
      <c r="M20" s="305">
        <f>IF(L20=0,"-",ROUND(L20*B20/B$75,4))</f>
        <v>0.17560000000000001</v>
      </c>
      <c r="N20" s="429" t="s">
        <v>199</v>
      </c>
      <c r="O20" s="292" t="s">
        <v>383</v>
      </c>
      <c r="Q20" s="466">
        <v>300000</v>
      </c>
      <c r="R20" s="473">
        <v>265711.90000000002</v>
      </c>
      <c r="S20" s="437">
        <f t="shared" ref="S20:S22" si="0">R20*100/Q20</f>
        <v>88.570633333333348</v>
      </c>
      <c r="T20" s="292" t="s">
        <v>51</v>
      </c>
      <c r="U20" s="501"/>
      <c r="V20" s="467"/>
      <c r="W20" s="502"/>
      <c r="X20" s="503"/>
      <c r="Y20" s="445"/>
      <c r="Z20" s="445"/>
      <c r="AA20" s="445"/>
    </row>
    <row r="21" spans="1:27" ht="25.5">
      <c r="A21" s="309" t="s">
        <v>23</v>
      </c>
      <c r="B21" s="352"/>
      <c r="C21" s="320"/>
      <c r="D21" s="320"/>
      <c r="E21" s="320"/>
      <c r="F21" s="335" t="s">
        <v>70</v>
      </c>
      <c r="G21" s="335" t="s">
        <v>70</v>
      </c>
      <c r="H21" s="531" t="s">
        <v>58</v>
      </c>
      <c r="I21" s="535"/>
      <c r="J21" s="535"/>
      <c r="K21" s="532"/>
      <c r="L21" s="307"/>
      <c r="M21" s="308"/>
      <c r="N21" s="487" t="s">
        <v>237</v>
      </c>
      <c r="O21" s="292" t="s">
        <v>384</v>
      </c>
      <c r="Q21" s="468">
        <v>300000</v>
      </c>
      <c r="R21" s="474">
        <v>281131.71000000002</v>
      </c>
      <c r="S21" s="437">
        <f t="shared" si="0"/>
        <v>93.710570000000018</v>
      </c>
      <c r="T21" s="292" t="s">
        <v>51</v>
      </c>
      <c r="U21" s="501"/>
      <c r="V21" s="467"/>
      <c r="W21" s="502"/>
      <c r="X21" s="503"/>
      <c r="Y21" s="445"/>
      <c r="Z21" s="445"/>
      <c r="AA21" s="445"/>
    </row>
    <row r="22" spans="1:27" ht="25.5">
      <c r="A22" s="309" t="s">
        <v>24</v>
      </c>
      <c r="B22" s="352"/>
      <c r="C22" s="320"/>
      <c r="D22" s="320"/>
      <c r="E22" s="320"/>
      <c r="F22" s="335" t="s">
        <v>137</v>
      </c>
      <c r="G22" s="335" t="s">
        <v>138</v>
      </c>
      <c r="H22" s="531" t="s">
        <v>147</v>
      </c>
      <c r="I22" s="535"/>
      <c r="J22" s="535"/>
      <c r="K22" s="532"/>
      <c r="L22" s="307"/>
      <c r="M22" s="308"/>
      <c r="O22" s="292" t="s">
        <v>385</v>
      </c>
      <c r="Q22" s="470">
        <v>350000</v>
      </c>
      <c r="R22" s="475">
        <v>316307.05</v>
      </c>
      <c r="S22" s="437">
        <f t="shared" si="0"/>
        <v>90.373442857142862</v>
      </c>
      <c r="T22" s="292" t="s">
        <v>51</v>
      </c>
      <c r="U22" s="501"/>
      <c r="V22" s="467"/>
      <c r="W22" s="502"/>
      <c r="X22" s="503"/>
      <c r="Y22" s="445"/>
      <c r="Z22" s="445"/>
      <c r="AA22" s="445"/>
    </row>
    <row r="23" spans="1:27" ht="23.25">
      <c r="A23" s="309"/>
      <c r="B23" s="352"/>
      <c r="C23" s="320"/>
      <c r="D23" s="320"/>
      <c r="E23" s="320"/>
      <c r="F23" s="320"/>
      <c r="G23" s="320"/>
      <c r="H23" s="531" t="s">
        <v>180</v>
      </c>
      <c r="I23" s="535"/>
      <c r="J23" s="535"/>
      <c r="K23" s="532"/>
      <c r="L23" s="307"/>
      <c r="M23" s="308"/>
      <c r="N23" s="292">
        <v>25</v>
      </c>
      <c r="O23" s="435">
        <v>1</v>
      </c>
      <c r="P23" s="292" t="s">
        <v>349</v>
      </c>
      <c r="Q23" s="451">
        <f>SUM(Q20:Q22)</f>
        <v>950000</v>
      </c>
      <c r="R23" s="580"/>
      <c r="U23" s="445"/>
      <c r="V23" s="445"/>
      <c r="W23" s="445"/>
      <c r="X23" s="445"/>
      <c r="Y23" s="445"/>
      <c r="Z23" s="445"/>
      <c r="AA23" s="445"/>
    </row>
    <row r="24" spans="1:27" ht="23.25">
      <c r="A24" s="309"/>
      <c r="B24" s="352"/>
      <c r="C24" s="320"/>
      <c r="D24" s="320"/>
      <c r="E24" s="320"/>
      <c r="F24" s="320"/>
      <c r="G24" s="311"/>
      <c r="H24" s="531"/>
      <c r="I24" s="323" t="s">
        <v>56</v>
      </c>
      <c r="J24" s="324">
        <f>Q24</f>
        <v>90.857964210526319</v>
      </c>
      <c r="K24" s="532" t="s">
        <v>51</v>
      </c>
      <c r="L24" s="307"/>
      <c r="M24" s="308"/>
      <c r="N24" s="562">
        <f>J24-75</f>
        <v>15.857964210526319</v>
      </c>
      <c r="O24" s="607">
        <f>O23*N24/N23</f>
        <v>0.63431856842105272</v>
      </c>
      <c r="Q24" s="485">
        <f>((Q20*S20)+(Q21*S21)+(Q22*S22))/Q23</f>
        <v>90.857964210526319</v>
      </c>
      <c r="R24" s="292" t="s">
        <v>51</v>
      </c>
    </row>
    <row r="25" spans="1:27" ht="23.25">
      <c r="A25" s="309"/>
      <c r="B25" s="352"/>
      <c r="C25" s="320"/>
      <c r="D25" s="320"/>
      <c r="E25" s="320"/>
      <c r="F25" s="320"/>
      <c r="G25" s="320"/>
      <c r="H25" s="333"/>
      <c r="I25" s="306"/>
      <c r="J25" s="306"/>
      <c r="K25" s="312"/>
      <c r="L25" s="307"/>
      <c r="M25" s="308"/>
    </row>
    <row r="26" spans="1:27" ht="23.25">
      <c r="A26" s="302" t="s">
        <v>181</v>
      </c>
      <c r="B26" s="403">
        <v>4</v>
      </c>
      <c r="C26" s="332">
        <v>0.96</v>
      </c>
      <c r="D26" s="332">
        <v>0.97</v>
      </c>
      <c r="E26" s="332">
        <v>0.98</v>
      </c>
      <c r="F26" s="332">
        <v>0.99</v>
      </c>
      <c r="G26" s="332">
        <v>1</v>
      </c>
      <c r="H26" s="536" t="s">
        <v>148</v>
      </c>
      <c r="I26" s="533"/>
      <c r="J26" s="533"/>
      <c r="K26" s="534"/>
      <c r="L26" s="304">
        <v>1</v>
      </c>
      <c r="M26" s="305">
        <f>IF(L26=0,"-",ROUND(L26*B26/B$75,4))</f>
        <v>6.6699999999999995E-2</v>
      </c>
      <c r="N26" s="429" t="s">
        <v>331</v>
      </c>
      <c r="O26" s="608" t="s">
        <v>215</v>
      </c>
      <c r="P26" s="455"/>
      <c r="Q26" s="457">
        <v>119999929</v>
      </c>
      <c r="R26" s="292" t="s">
        <v>187</v>
      </c>
    </row>
    <row r="27" spans="1:27" ht="23.25">
      <c r="A27" s="309" t="s">
        <v>26</v>
      </c>
      <c r="B27" s="352"/>
      <c r="C27" s="320"/>
      <c r="D27" s="320"/>
      <c r="E27" s="320"/>
      <c r="F27" s="320"/>
      <c r="G27" s="320"/>
      <c r="H27" s="380" t="s">
        <v>149</v>
      </c>
      <c r="I27" s="381"/>
      <c r="J27" s="381"/>
      <c r="K27" s="382"/>
      <c r="L27" s="307"/>
      <c r="M27" s="308"/>
      <c r="N27" s="487" t="s">
        <v>237</v>
      </c>
      <c r="O27" s="329" t="s">
        <v>216</v>
      </c>
      <c r="P27" s="448"/>
      <c r="Q27" s="477">
        <v>105646334</v>
      </c>
      <c r="R27" s="292" t="s">
        <v>187</v>
      </c>
    </row>
    <row r="28" spans="1:27" ht="23.25">
      <c r="A28" s="309"/>
      <c r="B28" s="352"/>
      <c r="C28" s="320"/>
      <c r="D28" s="320"/>
      <c r="E28" s="320"/>
      <c r="F28" s="320"/>
      <c r="G28" s="320"/>
      <c r="H28" s="380" t="s">
        <v>75</v>
      </c>
      <c r="I28" s="381"/>
      <c r="J28" s="381"/>
      <c r="K28" s="382"/>
      <c r="L28" s="307"/>
      <c r="M28" s="308"/>
      <c r="Q28" s="609">
        <f>Q27*100/Q26</f>
        <v>88.038663756209388</v>
      </c>
      <c r="R28" s="292" t="s">
        <v>51</v>
      </c>
    </row>
    <row r="29" spans="1:27" ht="23.25">
      <c r="A29" s="309"/>
      <c r="B29" s="352"/>
      <c r="C29" s="320"/>
      <c r="D29" s="320"/>
      <c r="E29" s="320"/>
      <c r="F29" s="320"/>
      <c r="G29" s="320"/>
      <c r="H29" s="380" t="s">
        <v>182</v>
      </c>
      <c r="I29" s="383"/>
      <c r="J29" s="383"/>
      <c r="K29" s="384"/>
      <c r="L29" s="307"/>
      <c r="M29" s="308"/>
    </row>
    <row r="30" spans="1:27" ht="23.25">
      <c r="A30" s="309"/>
      <c r="B30" s="352"/>
      <c r="C30" s="320"/>
      <c r="D30" s="320"/>
      <c r="E30" s="320"/>
      <c r="F30" s="320"/>
      <c r="G30" s="311"/>
      <c r="H30" s="531"/>
      <c r="I30" s="323" t="s">
        <v>56</v>
      </c>
      <c r="J30" s="564">
        <f>Q28</f>
        <v>88.038663756209388</v>
      </c>
      <c r="K30" s="532" t="s">
        <v>51</v>
      </c>
      <c r="L30" s="307"/>
      <c r="M30" s="308"/>
    </row>
    <row r="31" spans="1:27" ht="23.25">
      <c r="A31" s="325"/>
      <c r="B31" s="359"/>
      <c r="C31" s="310"/>
      <c r="D31" s="310"/>
      <c r="E31" s="310"/>
      <c r="F31" s="310"/>
      <c r="G31" s="310"/>
      <c r="H31" s="329"/>
      <c r="I31" s="427"/>
      <c r="J31" s="427"/>
      <c r="K31" s="428"/>
      <c r="L31" s="326"/>
      <c r="M31" s="299"/>
    </row>
    <row r="32" spans="1:27" ht="23.25">
      <c r="A32" s="302" t="s">
        <v>184</v>
      </c>
      <c r="B32" s="403">
        <v>4</v>
      </c>
      <c r="C32" s="332">
        <v>0.5</v>
      </c>
      <c r="D32" s="332">
        <v>0.75</v>
      </c>
      <c r="E32" s="332">
        <v>1</v>
      </c>
      <c r="F32" s="332">
        <v>1</v>
      </c>
      <c r="G32" s="332">
        <v>1</v>
      </c>
      <c r="H32" s="536" t="s">
        <v>152</v>
      </c>
      <c r="I32" s="533"/>
      <c r="J32" s="533"/>
      <c r="K32" s="534"/>
      <c r="L32" s="304">
        <v>2</v>
      </c>
      <c r="M32" s="305">
        <f>IF(L32=0,"-",ROUND(L32*B32/B$75,4))</f>
        <v>0.1333</v>
      </c>
      <c r="N32" s="429" t="s">
        <v>332</v>
      </c>
    </row>
    <row r="33" spans="1:14" ht="23.25">
      <c r="A33" s="309" t="s">
        <v>151</v>
      </c>
      <c r="B33" s="406"/>
      <c r="C33" s="335"/>
      <c r="D33" s="335"/>
      <c r="E33" s="335"/>
      <c r="F33" s="335" t="s">
        <v>70</v>
      </c>
      <c r="G33" s="335" t="s">
        <v>70</v>
      </c>
      <c r="H33" s="535" t="s">
        <v>153</v>
      </c>
      <c r="I33" s="535"/>
      <c r="J33" s="535"/>
      <c r="K33" s="532"/>
      <c r="L33" s="307"/>
      <c r="M33" s="308"/>
      <c r="N33" s="429" t="s">
        <v>237</v>
      </c>
    </row>
    <row r="34" spans="1:14" ht="23.25">
      <c r="A34" s="309"/>
      <c r="B34" s="406"/>
      <c r="C34" s="335"/>
      <c r="D34" s="335"/>
      <c r="E34" s="335"/>
      <c r="F34" s="335" t="s">
        <v>137</v>
      </c>
      <c r="G34" s="335" t="s">
        <v>138</v>
      </c>
      <c r="H34" s="535" t="s">
        <v>180</v>
      </c>
      <c r="I34" s="535"/>
      <c r="J34" s="535"/>
      <c r="K34" s="532"/>
      <c r="L34" s="307"/>
      <c r="M34" s="308"/>
      <c r="N34" s="429"/>
    </row>
    <row r="35" spans="1:14" ht="23.25">
      <c r="A35" s="309"/>
      <c r="B35" s="406"/>
      <c r="C35" s="336"/>
      <c r="D35" s="336"/>
      <c r="E35" s="336"/>
      <c r="F35" s="336"/>
      <c r="G35" s="390"/>
      <c r="H35" s="531"/>
      <c r="I35" s="323" t="s">
        <v>56</v>
      </c>
      <c r="J35" s="324">
        <v>75</v>
      </c>
      <c r="K35" s="532" t="s">
        <v>51</v>
      </c>
      <c r="L35" s="307"/>
      <c r="M35" s="308"/>
      <c r="N35" s="429"/>
    </row>
    <row r="36" spans="1:14" ht="23.25">
      <c r="A36" s="325"/>
      <c r="B36" s="359"/>
      <c r="C36" s="310"/>
      <c r="D36" s="310"/>
      <c r="E36" s="310"/>
      <c r="F36" s="310"/>
      <c r="G36" s="310"/>
      <c r="H36" s="527"/>
      <c r="I36" s="528"/>
      <c r="J36" s="528"/>
      <c r="K36" s="529"/>
      <c r="L36" s="326"/>
      <c r="M36" s="299"/>
      <c r="N36" s="429"/>
    </row>
    <row r="37" spans="1:14" ht="23.25">
      <c r="A37" s="302" t="s">
        <v>185</v>
      </c>
      <c r="B37" s="403">
        <v>12</v>
      </c>
      <c r="C37" s="332">
        <v>0.78</v>
      </c>
      <c r="D37" s="332">
        <v>0.81</v>
      </c>
      <c r="E37" s="332">
        <v>0.84</v>
      </c>
      <c r="F37" s="332">
        <v>0.87</v>
      </c>
      <c r="G37" s="332">
        <v>0.9</v>
      </c>
      <c r="H37" s="536" t="s">
        <v>186</v>
      </c>
      <c r="I37" s="533"/>
      <c r="J37" s="533"/>
      <c r="K37" s="534"/>
      <c r="L37" s="304">
        <v>1</v>
      </c>
      <c r="M37" s="305">
        <f>IF(L37=0,"-",ROUND(L37*B37/B$75,4))</f>
        <v>0.2</v>
      </c>
      <c r="N37" s="429" t="s">
        <v>199</v>
      </c>
    </row>
    <row r="38" spans="1:14" ht="23.25">
      <c r="A38" s="309" t="s">
        <v>85</v>
      </c>
      <c r="B38" s="352"/>
      <c r="C38" s="320"/>
      <c r="D38" s="320"/>
      <c r="E38" s="320"/>
      <c r="F38" s="320"/>
      <c r="G38" s="320"/>
      <c r="H38" s="531" t="s">
        <v>196</v>
      </c>
      <c r="I38" s="535"/>
      <c r="J38" s="535"/>
      <c r="K38" s="532"/>
      <c r="L38" s="307"/>
      <c r="M38" s="308"/>
      <c r="N38" s="487" t="s">
        <v>237</v>
      </c>
    </row>
    <row r="39" spans="1:14" ht="23.25">
      <c r="A39" s="309"/>
      <c r="B39" s="352"/>
      <c r="C39" s="320"/>
      <c r="D39" s="320"/>
      <c r="E39" s="320"/>
      <c r="F39" s="320"/>
      <c r="G39" s="320"/>
      <c r="H39" s="327"/>
      <c r="I39" s="327" t="s">
        <v>87</v>
      </c>
      <c r="J39" s="433">
        <v>343490000</v>
      </c>
      <c r="K39" s="532" t="s">
        <v>187</v>
      </c>
      <c r="L39" s="307"/>
      <c r="M39" s="308"/>
      <c r="N39" s="429"/>
    </row>
    <row r="40" spans="1:14" ht="23.25">
      <c r="A40" s="309"/>
      <c r="B40" s="352"/>
      <c r="C40" s="320"/>
      <c r="D40" s="320"/>
      <c r="E40" s="320"/>
      <c r="F40" s="320"/>
      <c r="G40" s="320"/>
      <c r="H40" s="327"/>
      <c r="I40" s="323" t="s">
        <v>188</v>
      </c>
      <c r="J40" s="434">
        <v>213330000</v>
      </c>
      <c r="K40" s="532" t="s">
        <v>187</v>
      </c>
      <c r="L40" s="307"/>
      <c r="M40" s="308"/>
      <c r="N40" s="429"/>
    </row>
    <row r="41" spans="1:14" ht="23.25">
      <c r="A41" s="309"/>
      <c r="B41" s="352"/>
      <c r="C41" s="320"/>
      <c r="D41" s="320"/>
      <c r="E41" s="320"/>
      <c r="F41" s="320"/>
      <c r="G41" s="320"/>
      <c r="H41" s="327"/>
      <c r="I41" s="323" t="s">
        <v>189</v>
      </c>
      <c r="J41" s="430">
        <f>J40*100/J39</f>
        <v>62.106611546187665</v>
      </c>
      <c r="K41" s="532" t="s">
        <v>51</v>
      </c>
      <c r="L41" s="307"/>
      <c r="M41" s="308"/>
      <c r="N41" s="429"/>
    </row>
    <row r="42" spans="1:14" ht="23.25">
      <c r="A42" s="325"/>
      <c r="B42" s="359"/>
      <c r="C42" s="310"/>
      <c r="D42" s="310"/>
      <c r="E42" s="310"/>
      <c r="F42" s="310"/>
      <c r="G42" s="310"/>
      <c r="H42" s="337"/>
      <c r="I42" s="427"/>
      <c r="J42" s="338"/>
      <c r="K42" s="428"/>
      <c r="L42" s="326"/>
      <c r="M42" s="299"/>
      <c r="N42" s="429"/>
    </row>
    <row r="43" spans="1:14" ht="23.25">
      <c r="A43" s="339" t="s">
        <v>190</v>
      </c>
      <c r="B43" s="407">
        <v>4</v>
      </c>
      <c r="C43" s="340">
        <v>0.65</v>
      </c>
      <c r="D43" s="340">
        <v>0.7</v>
      </c>
      <c r="E43" s="340">
        <v>0.75</v>
      </c>
      <c r="F43" s="340">
        <v>0.8</v>
      </c>
      <c r="G43" s="340">
        <v>0.85</v>
      </c>
      <c r="H43" s="536" t="s">
        <v>156</v>
      </c>
      <c r="I43" s="533"/>
      <c r="J43" s="533"/>
      <c r="K43" s="534"/>
      <c r="L43" s="304">
        <v>1</v>
      </c>
      <c r="M43" s="305">
        <f>IF(L43=0,"-",ROUND(L43*B43/B$75,4))</f>
        <v>6.6699999999999995E-2</v>
      </c>
      <c r="N43" s="429" t="s">
        <v>340</v>
      </c>
    </row>
    <row r="44" spans="1:14" ht="23.25">
      <c r="A44" s="309" t="s">
        <v>145</v>
      </c>
      <c r="B44" s="352"/>
      <c r="C44" s="320"/>
      <c r="D44" s="320"/>
      <c r="E44" s="320"/>
      <c r="F44" s="320"/>
      <c r="G44" s="320"/>
      <c r="H44" s="531" t="s">
        <v>104</v>
      </c>
      <c r="I44" s="535"/>
      <c r="J44" s="535"/>
      <c r="K44" s="532"/>
      <c r="L44" s="307"/>
      <c r="M44" s="308"/>
      <c r="N44" s="487" t="s">
        <v>237</v>
      </c>
    </row>
    <row r="45" spans="1:14" ht="23.25">
      <c r="A45" s="389" t="s">
        <v>155</v>
      </c>
      <c r="B45" s="352"/>
      <c r="C45" s="320"/>
      <c r="D45" s="320"/>
      <c r="E45" s="320"/>
      <c r="F45" s="320"/>
      <c r="G45" s="320"/>
      <c r="H45" s="531" t="s">
        <v>105</v>
      </c>
      <c r="I45" s="535"/>
      <c r="J45" s="535"/>
      <c r="K45" s="532"/>
      <c r="L45" s="307"/>
      <c r="M45" s="308"/>
      <c r="N45" s="429"/>
    </row>
    <row r="46" spans="1:14" ht="23.25">
      <c r="A46" s="309"/>
      <c r="B46" s="352"/>
      <c r="C46" s="320"/>
      <c r="D46" s="320"/>
      <c r="E46" s="320"/>
      <c r="F46" s="320"/>
      <c r="G46" s="320"/>
      <c r="H46" s="341"/>
      <c r="I46" s="342" t="s">
        <v>113</v>
      </c>
      <c r="J46" s="343" t="s">
        <v>11</v>
      </c>
      <c r="K46" s="532" t="s">
        <v>51</v>
      </c>
      <c r="L46" s="307"/>
      <c r="M46" s="308"/>
      <c r="N46" s="429"/>
    </row>
    <row r="47" spans="1:14" ht="23.25">
      <c r="A47" s="325"/>
      <c r="B47" s="359"/>
      <c r="C47" s="310"/>
      <c r="D47" s="310"/>
      <c r="E47" s="310"/>
      <c r="F47" s="310"/>
      <c r="G47" s="416"/>
      <c r="H47" s="705" t="s">
        <v>211</v>
      </c>
      <c r="I47" s="706"/>
      <c r="J47" s="706"/>
      <c r="K47" s="707"/>
      <c r="L47" s="326"/>
      <c r="M47" s="299"/>
      <c r="N47" s="429"/>
    </row>
    <row r="48" spans="1:14" ht="23.25">
      <c r="A48" s="302" t="s">
        <v>106</v>
      </c>
      <c r="B48" s="407">
        <v>4</v>
      </c>
      <c r="C48" s="346" t="s">
        <v>29</v>
      </c>
      <c r="D48" s="346" t="s">
        <v>30</v>
      </c>
      <c r="E48" s="346" t="s">
        <v>31</v>
      </c>
      <c r="F48" s="346" t="s">
        <v>32</v>
      </c>
      <c r="G48" s="346" t="s">
        <v>33</v>
      </c>
      <c r="H48" s="536" t="s">
        <v>108</v>
      </c>
      <c r="I48" s="533"/>
      <c r="J48" s="533"/>
      <c r="K48" s="534"/>
      <c r="L48" s="304">
        <v>2</v>
      </c>
      <c r="M48" s="305">
        <f>IF(L48=0,"-",ROUND(L48*B48/B$75,4))</f>
        <v>0.1333</v>
      </c>
      <c r="N48" s="429" t="s">
        <v>332</v>
      </c>
    </row>
    <row r="49" spans="1:15" ht="23.25">
      <c r="A49" s="309" t="s">
        <v>107</v>
      </c>
      <c r="B49" s="352"/>
      <c r="C49" s="348">
        <v>1.5</v>
      </c>
      <c r="D49" s="348">
        <v>2</v>
      </c>
      <c r="E49" s="348">
        <v>2.5</v>
      </c>
      <c r="F49" s="348">
        <v>3</v>
      </c>
      <c r="G49" s="348">
        <v>5</v>
      </c>
      <c r="H49" s="531" t="s">
        <v>146</v>
      </c>
      <c r="I49" s="535"/>
      <c r="J49" s="535"/>
      <c r="K49" s="532"/>
      <c r="L49" s="307"/>
      <c r="M49" s="308"/>
      <c r="N49" s="429" t="s">
        <v>237</v>
      </c>
    </row>
    <row r="50" spans="1:15" ht="23.25">
      <c r="A50" s="309"/>
      <c r="B50" s="352"/>
      <c r="C50" s="344"/>
      <c r="D50" s="344"/>
      <c r="E50" s="344"/>
      <c r="F50" s="344"/>
      <c r="G50" s="344"/>
      <c r="H50" s="531" t="s">
        <v>110</v>
      </c>
      <c r="I50" s="535"/>
      <c r="J50" s="535"/>
      <c r="K50" s="532"/>
      <c r="L50" s="307"/>
      <c r="M50" s="308"/>
      <c r="N50" s="429"/>
    </row>
    <row r="51" spans="1:15" ht="23.25">
      <c r="A51" s="309"/>
      <c r="B51" s="352"/>
      <c r="C51" s="344"/>
      <c r="D51" s="344"/>
      <c r="E51" s="344"/>
      <c r="F51" s="344"/>
      <c r="G51" s="344"/>
      <c r="H51" s="531" t="s">
        <v>191</v>
      </c>
      <c r="I51" s="535"/>
      <c r="J51" s="535"/>
      <c r="K51" s="532"/>
      <c r="L51" s="307"/>
      <c r="M51" s="308"/>
      <c r="N51" s="429"/>
    </row>
    <row r="52" spans="1:15" ht="23.25">
      <c r="A52" s="309"/>
      <c r="B52" s="352"/>
      <c r="C52" s="344"/>
      <c r="D52" s="344"/>
      <c r="E52" s="344"/>
      <c r="F52" s="344"/>
      <c r="G52" s="344"/>
      <c r="H52" s="531"/>
      <c r="I52" s="323" t="s">
        <v>112</v>
      </c>
      <c r="J52" s="324">
        <v>2</v>
      </c>
      <c r="K52" s="382"/>
      <c r="L52" s="307"/>
      <c r="M52" s="308"/>
      <c r="N52" s="429"/>
    </row>
    <row r="53" spans="1:15" ht="23.25">
      <c r="A53" s="325"/>
      <c r="B53" s="359"/>
      <c r="C53" s="310"/>
      <c r="D53" s="310"/>
      <c r="E53" s="310"/>
      <c r="F53" s="310"/>
      <c r="G53" s="310"/>
      <c r="H53" s="705"/>
      <c r="I53" s="706"/>
      <c r="J53" s="706"/>
      <c r="K53" s="707"/>
      <c r="L53" s="326"/>
      <c r="M53" s="299"/>
      <c r="N53" s="429"/>
    </row>
    <row r="54" spans="1:15" ht="23.25">
      <c r="A54" s="350" t="s">
        <v>132</v>
      </c>
      <c r="B54" s="407">
        <v>4</v>
      </c>
      <c r="C54" s="340">
        <v>0.1</v>
      </c>
      <c r="D54" s="340">
        <v>0.3</v>
      </c>
      <c r="E54" s="340">
        <v>0.5</v>
      </c>
      <c r="F54" s="340">
        <v>0.7</v>
      </c>
      <c r="G54" s="340">
        <v>1</v>
      </c>
      <c r="H54" s="536" t="s">
        <v>123</v>
      </c>
      <c r="I54" s="533"/>
      <c r="J54" s="533"/>
      <c r="K54" s="534"/>
      <c r="L54" s="304">
        <f>4+O57</f>
        <v>4.4333333333333336</v>
      </c>
      <c r="M54" s="305">
        <f>IF(L54=0,"-",ROUND(L54*B54/B$75,4))</f>
        <v>0.29559999999999997</v>
      </c>
      <c r="N54" s="429" t="s">
        <v>202</v>
      </c>
    </row>
    <row r="55" spans="1:15" ht="23.25">
      <c r="A55" s="351" t="s">
        <v>192</v>
      </c>
      <c r="B55" s="352"/>
      <c r="C55" s="320"/>
      <c r="D55" s="320"/>
      <c r="E55" s="320"/>
      <c r="F55" s="320"/>
      <c r="G55" s="311"/>
      <c r="H55" s="531" t="s">
        <v>124</v>
      </c>
      <c r="I55" s="322"/>
      <c r="J55" s="353"/>
      <c r="K55" s="354"/>
      <c r="L55" s="355"/>
      <c r="M55" s="308"/>
      <c r="N55" s="429" t="s">
        <v>237</v>
      </c>
    </row>
    <row r="56" spans="1:15" ht="23.25">
      <c r="A56" s="351"/>
      <c r="B56" s="352"/>
      <c r="C56" s="320"/>
      <c r="D56" s="320"/>
      <c r="E56" s="320"/>
      <c r="F56" s="320"/>
      <c r="G56" s="320"/>
      <c r="H56" s="535" t="s">
        <v>125</v>
      </c>
      <c r="I56" s="322"/>
      <c r="J56" s="353"/>
      <c r="K56" s="354"/>
      <c r="L56" s="355"/>
      <c r="M56" s="308"/>
      <c r="N56" s="429">
        <v>30</v>
      </c>
      <c r="O56" s="435">
        <v>1</v>
      </c>
    </row>
    <row r="57" spans="1:15" ht="23.25">
      <c r="A57" s="351"/>
      <c r="B57" s="352"/>
      <c r="C57" s="320"/>
      <c r="D57" s="320"/>
      <c r="E57" s="320"/>
      <c r="F57" s="320"/>
      <c r="G57" s="320"/>
      <c r="H57" s="531" t="s">
        <v>126</v>
      </c>
      <c r="I57" s="322"/>
      <c r="J57" s="353"/>
      <c r="K57" s="354"/>
      <c r="L57" s="355"/>
      <c r="M57" s="308"/>
      <c r="N57" s="610">
        <f>J59-70</f>
        <v>13</v>
      </c>
      <c r="O57" s="435">
        <f>O56*N57/N56</f>
        <v>0.43333333333333335</v>
      </c>
    </row>
    <row r="58" spans="1:15" ht="23.25">
      <c r="A58" s="351"/>
      <c r="B58" s="352"/>
      <c r="C58" s="320"/>
      <c r="D58" s="320"/>
      <c r="E58" s="320"/>
      <c r="F58" s="320"/>
      <c r="G58" s="320"/>
      <c r="H58" s="531" t="s">
        <v>127</v>
      </c>
      <c r="I58" s="322"/>
      <c r="J58" s="353"/>
      <c r="K58" s="354"/>
      <c r="L58" s="355"/>
      <c r="M58" s="308"/>
      <c r="N58" s="429"/>
    </row>
    <row r="59" spans="1:15" ht="23.25">
      <c r="A59" s="351"/>
      <c r="B59" s="352"/>
      <c r="C59" s="320"/>
      <c r="D59" s="320"/>
      <c r="E59" s="320"/>
      <c r="F59" s="320"/>
      <c r="G59" s="320"/>
      <c r="H59" s="531"/>
      <c r="I59" s="323" t="s">
        <v>114</v>
      </c>
      <c r="J59" s="408">
        <v>83</v>
      </c>
      <c r="K59" s="382" t="s">
        <v>51</v>
      </c>
      <c r="L59" s="355"/>
      <c r="M59" s="308"/>
      <c r="N59" s="429"/>
    </row>
    <row r="60" spans="1:15" ht="23.25">
      <c r="A60" s="358"/>
      <c r="B60" s="359"/>
      <c r="C60" s="310"/>
      <c r="D60" s="310"/>
      <c r="E60" s="310"/>
      <c r="F60" s="310"/>
      <c r="G60" s="310"/>
      <c r="H60" s="330"/>
      <c r="I60" s="427"/>
      <c r="J60" s="427"/>
      <c r="K60" s="428"/>
      <c r="L60" s="360"/>
      <c r="M60" s="299"/>
      <c r="N60" s="429"/>
    </row>
    <row r="61" spans="1:15" ht="23.25">
      <c r="A61" s="302" t="s">
        <v>115</v>
      </c>
      <c r="B61" s="407">
        <v>4</v>
      </c>
      <c r="C61" s="361">
        <v>0.8</v>
      </c>
      <c r="D61" s="361">
        <v>0.85</v>
      </c>
      <c r="E61" s="361">
        <v>0.9</v>
      </c>
      <c r="F61" s="361">
        <v>0.95</v>
      </c>
      <c r="G61" s="361">
        <v>1</v>
      </c>
      <c r="H61" s="536" t="s">
        <v>157</v>
      </c>
      <c r="I61" s="533"/>
      <c r="J61" s="533"/>
      <c r="K61" s="534"/>
      <c r="L61" s="304">
        <v>5</v>
      </c>
      <c r="M61" s="305">
        <f>IF(L61=0,"-",ROUND(L61*B61/B$75,4))</f>
        <v>0.33329999999999999</v>
      </c>
      <c r="N61" s="429" t="s">
        <v>214</v>
      </c>
    </row>
    <row r="62" spans="1:15" ht="23.25">
      <c r="A62" s="309" t="s">
        <v>116</v>
      </c>
      <c r="B62" s="352"/>
      <c r="C62" s="348"/>
      <c r="D62" s="348"/>
      <c r="E62" s="348"/>
      <c r="F62" s="348"/>
      <c r="G62" s="348"/>
      <c r="H62" s="531" t="s">
        <v>158</v>
      </c>
      <c r="I62" s="535"/>
      <c r="J62" s="535"/>
      <c r="K62" s="532"/>
      <c r="L62" s="362"/>
      <c r="M62" s="308"/>
      <c r="N62" s="429"/>
    </row>
    <row r="63" spans="1:15" ht="23.25">
      <c r="A63" s="309" t="s">
        <v>193</v>
      </c>
      <c r="B63" s="352"/>
      <c r="C63" s="320"/>
      <c r="D63" s="320"/>
      <c r="E63" s="320"/>
      <c r="F63" s="320"/>
      <c r="G63" s="320"/>
      <c r="H63" s="531" t="s">
        <v>197</v>
      </c>
      <c r="I63" s="535"/>
      <c r="J63" s="535"/>
      <c r="K63" s="532"/>
      <c r="L63" s="362"/>
      <c r="M63" s="308"/>
      <c r="N63" s="429"/>
    </row>
    <row r="64" spans="1:15" ht="23.25">
      <c r="A64" s="309"/>
      <c r="B64" s="352"/>
      <c r="C64" s="320"/>
      <c r="D64" s="320"/>
      <c r="E64" s="320"/>
      <c r="F64" s="320"/>
      <c r="G64" s="320"/>
      <c r="H64" s="531" t="s">
        <v>120</v>
      </c>
      <c r="I64" s="535"/>
      <c r="J64" s="535"/>
      <c r="K64" s="532"/>
      <c r="L64" s="362"/>
      <c r="M64" s="308"/>
      <c r="N64" s="429"/>
    </row>
    <row r="65" spans="1:14" ht="23.25">
      <c r="A65" s="309"/>
      <c r="B65" s="352"/>
      <c r="C65" s="320"/>
      <c r="D65" s="320"/>
      <c r="E65" s="320"/>
      <c r="F65" s="320"/>
      <c r="G65" s="320"/>
      <c r="H65" s="531" t="s">
        <v>194</v>
      </c>
      <c r="I65" s="535"/>
      <c r="J65" s="535"/>
      <c r="K65" s="532"/>
      <c r="L65" s="362"/>
      <c r="M65" s="308"/>
      <c r="N65" s="429"/>
    </row>
    <row r="66" spans="1:14" ht="23.25">
      <c r="A66" s="309"/>
      <c r="B66" s="352"/>
      <c r="C66" s="320"/>
      <c r="D66" s="320"/>
      <c r="E66" s="320"/>
      <c r="F66" s="320"/>
      <c r="G66" s="344"/>
      <c r="H66" s="531" t="s">
        <v>195</v>
      </c>
      <c r="I66" s="345"/>
      <c r="J66" s="408">
        <v>100</v>
      </c>
      <c r="K66" s="414" t="s">
        <v>51</v>
      </c>
      <c r="L66" s="413"/>
      <c r="M66" s="308"/>
      <c r="N66" s="429"/>
    </row>
    <row r="67" spans="1:14" ht="23.25">
      <c r="A67" s="358"/>
      <c r="B67" s="415"/>
      <c r="C67" s="412"/>
      <c r="D67" s="412"/>
      <c r="E67" s="412"/>
      <c r="F67" s="412"/>
      <c r="G67" s="329"/>
      <c r="H67" s="538"/>
      <c r="I67" s="418"/>
      <c r="J67" s="419"/>
      <c r="K67" s="417"/>
      <c r="L67" s="420"/>
      <c r="M67" s="308"/>
      <c r="N67" s="429"/>
    </row>
    <row r="68" spans="1:14" ht="23.25">
      <c r="A68" s="351" t="s">
        <v>316</v>
      </c>
      <c r="B68" s="543">
        <v>4</v>
      </c>
      <c r="C68" s="544">
        <v>0.4</v>
      </c>
      <c r="D68" s="544">
        <v>0.45</v>
      </c>
      <c r="E68" s="544">
        <v>0.5</v>
      </c>
      <c r="F68" s="544">
        <v>0.55000000000000004</v>
      </c>
      <c r="G68" s="544">
        <v>0.6</v>
      </c>
      <c r="H68" s="531" t="s">
        <v>317</v>
      </c>
      <c r="I68" s="345"/>
      <c r="J68" s="545"/>
      <c r="K68" s="546"/>
      <c r="L68" s="413">
        <v>3</v>
      </c>
      <c r="M68" s="305">
        <f>IF(L68=0,"-",ROUND(L68*B68/B$75,4))</f>
        <v>0.2</v>
      </c>
      <c r="N68" s="429" t="s">
        <v>214</v>
      </c>
    </row>
    <row r="69" spans="1:14" ht="23.25">
      <c r="A69" s="351" t="s">
        <v>318</v>
      </c>
      <c r="B69" s="406"/>
      <c r="C69" s="311"/>
      <c r="D69" s="311"/>
      <c r="E69" s="311"/>
      <c r="F69" s="311"/>
      <c r="G69" s="333"/>
      <c r="H69" s="531" t="s">
        <v>319</v>
      </c>
      <c r="I69" s="345"/>
      <c r="J69" s="545"/>
      <c r="K69" s="546"/>
      <c r="L69" s="413"/>
      <c r="M69" s="308"/>
    </row>
    <row r="70" spans="1:14" ht="23.25">
      <c r="A70" s="351"/>
      <c r="B70" s="406"/>
      <c r="C70" s="311"/>
      <c r="D70" s="311"/>
      <c r="E70" s="311"/>
      <c r="F70" s="311"/>
      <c r="G70" s="333"/>
      <c r="H70" s="531"/>
      <c r="I70" s="345"/>
      <c r="J70" s="545"/>
      <c r="K70" s="546"/>
      <c r="L70" s="413"/>
      <c r="M70" s="308"/>
    </row>
    <row r="71" spans="1:14" ht="23.25">
      <c r="A71" s="351"/>
      <c r="B71" s="406"/>
      <c r="C71" s="311"/>
      <c r="D71" s="311"/>
      <c r="E71" s="311"/>
      <c r="F71" s="311"/>
      <c r="G71" s="333"/>
      <c r="H71" s="531"/>
      <c r="I71" s="345" t="s">
        <v>174</v>
      </c>
      <c r="J71" s="547">
        <v>55</v>
      </c>
      <c r="K71" s="414" t="s">
        <v>51</v>
      </c>
      <c r="L71" s="413"/>
      <c r="M71" s="308"/>
    </row>
    <row r="72" spans="1:14" ht="23.25">
      <c r="A72" s="351"/>
      <c r="B72" s="406"/>
      <c r="C72" s="311"/>
      <c r="D72" s="311"/>
      <c r="E72" s="311"/>
      <c r="F72" s="311"/>
      <c r="G72" s="333"/>
      <c r="H72" s="531"/>
      <c r="I72" s="345"/>
      <c r="J72" s="545"/>
      <c r="K72" s="546"/>
      <c r="L72" s="413"/>
      <c r="M72" s="308"/>
    </row>
    <row r="73" spans="1:14" ht="23.25">
      <c r="A73" s="351"/>
      <c r="B73" s="406"/>
      <c r="C73" s="311"/>
      <c r="D73" s="311"/>
      <c r="E73" s="311"/>
      <c r="F73" s="311"/>
      <c r="G73" s="333"/>
      <c r="H73" s="531"/>
      <c r="I73" s="345"/>
      <c r="J73" s="545"/>
      <c r="K73" s="546"/>
      <c r="L73" s="413"/>
      <c r="M73" s="308"/>
    </row>
    <row r="74" spans="1:14" ht="23.25">
      <c r="A74" s="358"/>
      <c r="B74" s="415"/>
      <c r="C74" s="412"/>
      <c r="D74" s="412"/>
      <c r="E74" s="412"/>
      <c r="F74" s="412"/>
      <c r="G74" s="416"/>
      <c r="H74" s="538"/>
      <c r="I74" s="345"/>
      <c r="J74" s="545"/>
      <c r="K74" s="417"/>
      <c r="L74" s="413"/>
      <c r="M74" s="308"/>
    </row>
    <row r="75" spans="1:14" ht="26.25">
      <c r="A75" s="363"/>
      <c r="B75" s="409">
        <f>ROUND(SUM(B6:B74),1)</f>
        <v>60</v>
      </c>
      <c r="C75" s="364"/>
      <c r="D75" s="364"/>
      <c r="E75" s="364"/>
      <c r="F75" s="364"/>
      <c r="G75" s="365"/>
      <c r="H75" s="364"/>
      <c r="I75" s="364"/>
      <c r="J75" s="364"/>
      <c r="K75" s="364"/>
      <c r="L75" s="366" t="s">
        <v>139</v>
      </c>
      <c r="M75" s="410">
        <f>(SUM(M6:M74))</f>
        <v>2.5196999999999998</v>
      </c>
    </row>
  </sheetData>
  <mergeCells count="17"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  <mergeCell ref="H14:K14"/>
    <mergeCell ref="H15:K15"/>
    <mergeCell ref="H20:K20"/>
    <mergeCell ref="H47:K47"/>
    <mergeCell ref="H53:K53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5" max="12" man="1"/>
    <brk id="47" max="12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D90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65.28515625" style="292" bestFit="1" customWidth="1"/>
    <col min="16" max="16" width="4.85546875" style="292" bestFit="1" customWidth="1"/>
    <col min="17" max="17" width="16.5703125" style="292" bestFit="1" customWidth="1"/>
    <col min="18" max="18" width="14.140625" style="292" bestFit="1" customWidth="1"/>
    <col min="19" max="20" width="9.140625" style="292"/>
    <col min="21" max="21" width="13.85546875" style="292" bestFit="1" customWidth="1"/>
    <col min="22" max="27" width="9.140625" style="292"/>
    <col min="28" max="28" width="15" style="292" bestFit="1" customWidth="1"/>
    <col min="29" max="29" width="13.85546875" style="292" bestFit="1" customWidth="1"/>
    <col min="30" max="16384" width="9.140625" style="292"/>
  </cols>
  <sheetData>
    <row r="1" spans="1:28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28" ht="24" customHeight="1">
      <c r="A2" s="710" t="s">
        <v>386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28" ht="24" customHeight="1">
      <c r="A3" s="293" t="s">
        <v>321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</row>
    <row r="5" spans="1:28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34"/>
      <c r="I5" s="735"/>
      <c r="J5" s="735"/>
      <c r="K5" s="736"/>
      <c r="L5" s="719"/>
      <c r="M5" s="301" t="s">
        <v>9</v>
      </c>
    </row>
    <row r="6" spans="1:28" ht="24" customHeight="1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726" t="s">
        <v>141</v>
      </c>
      <c r="I6" s="722"/>
      <c r="J6" s="722"/>
      <c r="K6" s="723"/>
      <c r="L6" s="304">
        <v>1</v>
      </c>
      <c r="M6" s="305">
        <f>IF(L6=0,"-",ROUND(L6*B6/B$90,4))</f>
        <v>5.2600000000000001E-2</v>
      </c>
      <c r="N6" s="429" t="s">
        <v>214</v>
      </c>
      <c r="Q6" s="580"/>
      <c r="S6" s="356"/>
      <c r="T6" s="356"/>
      <c r="U6" s="356"/>
      <c r="V6" s="356"/>
      <c r="W6" s="356"/>
      <c r="X6" s="356"/>
      <c r="Y6" s="356"/>
      <c r="Z6" s="356"/>
      <c r="AA6" s="356"/>
      <c r="AB6" s="356"/>
    </row>
    <row r="7" spans="1:28" ht="24" customHeight="1">
      <c r="A7" s="309" t="s">
        <v>44</v>
      </c>
      <c r="B7" s="399"/>
      <c r="C7" s="320"/>
      <c r="D7" s="320"/>
      <c r="E7" s="320"/>
      <c r="F7" s="320"/>
      <c r="G7" s="320"/>
      <c r="H7" s="720" t="s">
        <v>142</v>
      </c>
      <c r="I7" s="724"/>
      <c r="J7" s="724"/>
      <c r="K7" s="721"/>
      <c r="L7" s="307"/>
      <c r="M7" s="308"/>
      <c r="N7" s="429"/>
      <c r="Q7" s="580"/>
      <c r="R7" s="580"/>
      <c r="S7" s="356"/>
      <c r="T7" s="356"/>
      <c r="U7" s="356"/>
      <c r="V7" s="356"/>
      <c r="W7" s="356"/>
      <c r="X7" s="356"/>
      <c r="Y7" s="356"/>
      <c r="Z7" s="356"/>
      <c r="AA7" s="356"/>
      <c r="AB7" s="356"/>
    </row>
    <row r="8" spans="1:28" ht="24" customHeight="1">
      <c r="A8" s="309"/>
      <c r="B8" s="399"/>
      <c r="C8" s="320"/>
      <c r="D8" s="320"/>
      <c r="E8" s="320"/>
      <c r="F8" s="320"/>
      <c r="G8" s="320"/>
      <c r="H8" s="720" t="s">
        <v>143</v>
      </c>
      <c r="I8" s="724"/>
      <c r="J8" s="724"/>
      <c r="K8" s="721"/>
      <c r="L8" s="307"/>
      <c r="M8" s="308"/>
    </row>
    <row r="9" spans="1:28" ht="23.25">
      <c r="A9" s="309"/>
      <c r="B9" s="399"/>
      <c r="C9" s="320"/>
      <c r="D9" s="320"/>
      <c r="E9" s="320"/>
      <c r="F9" s="320"/>
      <c r="G9" s="320"/>
      <c r="H9" s="720" t="s">
        <v>144</v>
      </c>
      <c r="I9" s="724"/>
      <c r="J9" s="724"/>
      <c r="K9" s="721"/>
      <c r="L9" s="307"/>
      <c r="M9" s="308"/>
    </row>
    <row r="10" spans="1:28" ht="23.25">
      <c r="A10" s="309"/>
      <c r="B10" s="399"/>
      <c r="C10" s="320"/>
      <c r="D10" s="320"/>
      <c r="E10" s="320"/>
      <c r="F10" s="320"/>
      <c r="G10" s="320"/>
      <c r="H10" s="720" t="s">
        <v>170</v>
      </c>
      <c r="I10" s="724"/>
      <c r="J10" s="724"/>
      <c r="K10" s="721"/>
      <c r="L10" s="307"/>
      <c r="M10" s="308"/>
    </row>
    <row r="11" spans="1:28" ht="23.25">
      <c r="A11" s="309"/>
      <c r="B11" s="399"/>
      <c r="C11" s="320"/>
      <c r="D11" s="320"/>
      <c r="E11" s="320"/>
      <c r="F11" s="320"/>
      <c r="G11" s="320"/>
      <c r="I11" s="323" t="s">
        <v>54</v>
      </c>
      <c r="J11" s="324" t="s">
        <v>11</v>
      </c>
      <c r="K11" s="532" t="s">
        <v>51</v>
      </c>
      <c r="L11" s="307"/>
      <c r="M11" s="308"/>
    </row>
    <row r="12" spans="1:28" ht="23.25">
      <c r="A12" s="325"/>
      <c r="B12" s="402"/>
      <c r="C12" s="310"/>
      <c r="D12" s="310"/>
      <c r="E12" s="310"/>
      <c r="F12" s="310"/>
      <c r="G12" s="310"/>
      <c r="H12" s="705" t="s">
        <v>212</v>
      </c>
      <c r="I12" s="706"/>
      <c r="J12" s="706"/>
      <c r="K12" s="707"/>
      <c r="L12" s="326"/>
      <c r="M12" s="299"/>
      <c r="Q12" s="530" t="s">
        <v>324</v>
      </c>
      <c r="R12" s="530" t="s">
        <v>240</v>
      </c>
      <c r="T12" s="560"/>
      <c r="U12" s="561"/>
      <c r="V12" s="446"/>
    </row>
    <row r="13" spans="1:28" ht="23.2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722" t="s">
        <v>171</v>
      </c>
      <c r="I13" s="722"/>
      <c r="J13" s="722"/>
      <c r="K13" s="723"/>
      <c r="L13" s="304">
        <v>1</v>
      </c>
      <c r="M13" s="305">
        <f>IF(L13=0,"-",ROUND(L13*B13/B$90,4))</f>
        <v>0.15790000000000001</v>
      </c>
      <c r="N13" s="429" t="s">
        <v>214</v>
      </c>
      <c r="O13" s="454" t="s">
        <v>387</v>
      </c>
      <c r="P13" s="455"/>
      <c r="Q13" s="602">
        <v>1178152505</v>
      </c>
      <c r="R13" s="568">
        <v>35.5</v>
      </c>
      <c r="T13" s="560"/>
      <c r="U13" s="561"/>
      <c r="V13" s="446"/>
    </row>
    <row r="14" spans="1:28" ht="23.25">
      <c r="A14" s="309" t="s">
        <v>21</v>
      </c>
      <c r="B14" s="352"/>
      <c r="C14" s="320"/>
      <c r="D14" s="320"/>
      <c r="E14" s="320"/>
      <c r="F14" s="320"/>
      <c r="G14" s="320"/>
      <c r="H14" s="720" t="s">
        <v>83</v>
      </c>
      <c r="I14" s="724"/>
      <c r="J14" s="724"/>
      <c r="K14" s="721"/>
      <c r="L14" s="307"/>
      <c r="M14" s="308"/>
      <c r="O14" s="454" t="s">
        <v>388</v>
      </c>
      <c r="P14" s="455"/>
      <c r="Q14" s="602">
        <v>150250900</v>
      </c>
      <c r="R14" s="568">
        <v>91.2</v>
      </c>
      <c r="T14" s="560"/>
      <c r="U14" s="561"/>
      <c r="V14" s="446"/>
    </row>
    <row r="15" spans="1:28" ht="23.25">
      <c r="A15" s="309"/>
      <c r="B15" s="352"/>
      <c r="C15" s="320"/>
      <c r="D15" s="320"/>
      <c r="E15" s="320"/>
      <c r="F15" s="320"/>
      <c r="G15" s="320"/>
      <c r="H15" s="720" t="s">
        <v>172</v>
      </c>
      <c r="I15" s="724"/>
      <c r="J15" s="724"/>
      <c r="K15" s="721"/>
      <c r="L15" s="307"/>
      <c r="M15" s="308"/>
      <c r="O15" s="454" t="s">
        <v>389</v>
      </c>
      <c r="P15" s="455"/>
      <c r="Q15" s="602">
        <v>187050000</v>
      </c>
      <c r="R15" s="568">
        <v>12.35</v>
      </c>
    </row>
    <row r="16" spans="1:28" ht="23.2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32"/>
      <c r="L16" s="307"/>
      <c r="M16" s="308"/>
      <c r="P16" s="292" t="s">
        <v>349</v>
      </c>
      <c r="Q16" s="580">
        <f>Q15+Q14+Q13</f>
        <v>1515453405</v>
      </c>
      <c r="R16" s="580"/>
    </row>
    <row r="17" spans="1:30" ht="23.2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32"/>
      <c r="L17" s="307"/>
      <c r="M17" s="308"/>
      <c r="Q17" s="485">
        <f>((R13*Q13)+(R14*Q14)+(R15*Q15))/Q16</f>
        <v>38.165055630661243</v>
      </c>
      <c r="R17" s="292" t="s">
        <v>51</v>
      </c>
    </row>
    <row r="18" spans="1:30" ht="23.2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570">
        <f>Q17</f>
        <v>38.165055630661243</v>
      </c>
      <c r="K18" s="532" t="s">
        <v>51</v>
      </c>
      <c r="L18" s="307"/>
      <c r="M18" s="308"/>
    </row>
    <row r="19" spans="1:30" ht="23.2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  <c r="Q19" s="530" t="s">
        <v>324</v>
      </c>
      <c r="R19" s="530" t="s">
        <v>330</v>
      </c>
      <c r="S19" s="530" t="s">
        <v>240</v>
      </c>
      <c r="U19" s="445"/>
      <c r="V19" s="445"/>
      <c r="W19" s="445"/>
      <c r="X19" s="445"/>
      <c r="Y19" s="445"/>
      <c r="Z19" s="445"/>
      <c r="AA19" s="520"/>
      <c r="AB19" s="446"/>
      <c r="AC19" s="569"/>
      <c r="AD19" s="306"/>
    </row>
    <row r="20" spans="1:30" ht="23.25">
      <c r="A20" s="302" t="s">
        <v>175</v>
      </c>
      <c r="B20" s="403">
        <v>12</v>
      </c>
      <c r="C20" s="303">
        <v>0.6</v>
      </c>
      <c r="D20" s="303">
        <v>0.7</v>
      </c>
      <c r="E20" s="303">
        <v>0.8</v>
      </c>
      <c r="F20" s="303">
        <v>0.9</v>
      </c>
      <c r="G20" s="303">
        <v>1</v>
      </c>
      <c r="H20" s="722" t="s">
        <v>176</v>
      </c>
      <c r="I20" s="722"/>
      <c r="J20" s="722"/>
      <c r="K20" s="723"/>
      <c r="L20" s="304">
        <v>1</v>
      </c>
      <c r="M20" s="305">
        <f>IF(L20=0,"-",ROUND(L20*B20/B$90,4))</f>
        <v>0.15790000000000001</v>
      </c>
      <c r="N20" s="441">
        <v>6</v>
      </c>
      <c r="O20" s="442" t="s">
        <v>231</v>
      </c>
      <c r="P20" s="442"/>
      <c r="Q20" s="505">
        <v>67807100</v>
      </c>
      <c r="R20" s="480">
        <v>58010613.75</v>
      </c>
      <c r="S20" s="506">
        <v>91.14</v>
      </c>
      <c r="T20" s="292" t="s">
        <v>225</v>
      </c>
      <c r="U20" s="445"/>
      <c r="V20" s="445"/>
      <c r="W20" s="445"/>
      <c r="X20" s="445"/>
      <c r="Y20" s="445"/>
      <c r="Z20" s="445"/>
      <c r="AA20" s="445"/>
      <c r="AB20" s="446"/>
      <c r="AC20" s="569"/>
      <c r="AD20" s="306"/>
    </row>
    <row r="21" spans="1:30" ht="23.25">
      <c r="A21" s="309" t="s">
        <v>177</v>
      </c>
      <c r="B21" s="352"/>
      <c r="C21" s="320"/>
      <c r="D21" s="320"/>
      <c r="E21" s="320"/>
      <c r="F21" s="320"/>
      <c r="G21" s="320"/>
      <c r="H21" s="405" t="s">
        <v>178</v>
      </c>
      <c r="L21" s="307"/>
      <c r="M21" s="308"/>
      <c r="N21" s="444">
        <v>7</v>
      </c>
      <c r="O21" s="445" t="s">
        <v>232</v>
      </c>
      <c r="P21" s="445"/>
      <c r="Q21" s="513">
        <v>82443800</v>
      </c>
      <c r="R21" s="481">
        <v>74929479.739999995</v>
      </c>
      <c r="S21" s="320">
        <v>91.41</v>
      </c>
      <c r="U21" s="445"/>
      <c r="V21" s="445"/>
      <c r="W21" s="445"/>
      <c r="X21" s="445"/>
      <c r="Y21" s="445"/>
      <c r="Z21" s="445"/>
      <c r="AA21" s="445"/>
      <c r="AB21" s="446"/>
      <c r="AC21" s="569"/>
      <c r="AD21" s="446"/>
    </row>
    <row r="22" spans="1:30" ht="23.25">
      <c r="A22" s="309"/>
      <c r="B22" s="352"/>
      <c r="C22" s="320"/>
      <c r="D22" s="320"/>
      <c r="E22" s="320"/>
      <c r="F22" s="320"/>
      <c r="G22" s="320"/>
      <c r="H22" s="720" t="s">
        <v>83</v>
      </c>
      <c r="I22" s="724"/>
      <c r="J22" s="724"/>
      <c r="K22" s="721"/>
      <c r="L22" s="307"/>
      <c r="M22" s="308"/>
      <c r="N22" s="447">
        <v>8</v>
      </c>
      <c r="O22" s="448" t="s">
        <v>209</v>
      </c>
      <c r="P22" s="448"/>
      <c r="Q22" s="515">
        <v>187050000</v>
      </c>
      <c r="R22" s="482">
        <v>90902980.530000001</v>
      </c>
      <c r="S22" s="515">
        <v>12.2</v>
      </c>
    </row>
    <row r="23" spans="1:30" ht="23.25">
      <c r="A23" s="309"/>
      <c r="B23" s="352"/>
      <c r="C23" s="320"/>
      <c r="D23" s="320"/>
      <c r="E23" s="320"/>
      <c r="F23" s="320"/>
      <c r="G23" s="320"/>
      <c r="H23" s="531" t="s">
        <v>172</v>
      </c>
      <c r="I23" s="535"/>
      <c r="J23" s="535"/>
      <c r="K23" s="532"/>
      <c r="L23" s="307"/>
      <c r="M23" s="308"/>
      <c r="N23" s="429" t="s">
        <v>214</v>
      </c>
      <c r="P23" s="292" t="s">
        <v>349</v>
      </c>
      <c r="Q23" s="580">
        <f>SUM(Q20:Q22)</f>
        <v>337300900</v>
      </c>
      <c r="R23" s="580"/>
    </row>
    <row r="24" spans="1:30" ht="23.25">
      <c r="A24" s="309"/>
      <c r="B24" s="352"/>
      <c r="C24" s="320"/>
      <c r="D24" s="320"/>
      <c r="E24" s="320"/>
      <c r="F24" s="320"/>
      <c r="G24" s="320"/>
      <c r="H24" s="380" t="s">
        <v>173</v>
      </c>
      <c r="I24" s="323"/>
      <c r="J24" s="328"/>
      <c r="K24" s="532"/>
      <c r="L24" s="307"/>
      <c r="M24" s="308"/>
      <c r="Q24" s="440">
        <f>((Q20*S20)+(Q21*S21)+(Q22*S22))/Q23</f>
        <v>47.429867077140912</v>
      </c>
      <c r="R24" s="292" t="s">
        <v>51</v>
      </c>
    </row>
    <row r="25" spans="1:30" ht="23.25">
      <c r="A25" s="309"/>
      <c r="B25" s="352"/>
      <c r="C25" s="320"/>
      <c r="D25" s="320"/>
      <c r="E25" s="320"/>
      <c r="F25" s="320"/>
      <c r="G25" s="320"/>
      <c r="H25" s="380"/>
      <c r="I25" s="323" t="s">
        <v>174</v>
      </c>
      <c r="J25" s="328">
        <f>Q24</f>
        <v>47.429867077140912</v>
      </c>
      <c r="K25" s="532" t="s">
        <v>51</v>
      </c>
      <c r="L25" s="307"/>
      <c r="M25" s="308"/>
    </row>
    <row r="26" spans="1:30" ht="23.25">
      <c r="A26" s="325"/>
      <c r="B26" s="359"/>
      <c r="C26" s="310"/>
      <c r="D26" s="310"/>
      <c r="E26" s="310"/>
      <c r="F26" s="310"/>
      <c r="G26" s="310"/>
      <c r="H26" s="329"/>
      <c r="I26" s="330"/>
      <c r="J26" s="404"/>
      <c r="K26" s="331"/>
      <c r="L26" s="326"/>
      <c r="M26" s="299"/>
      <c r="Q26" s="530" t="s">
        <v>324</v>
      </c>
      <c r="R26" s="530" t="s">
        <v>330</v>
      </c>
      <c r="S26" s="530" t="s">
        <v>51</v>
      </c>
    </row>
    <row r="27" spans="1:30" ht="25.5">
      <c r="A27" s="302" t="s">
        <v>179</v>
      </c>
      <c r="B27" s="403">
        <v>4</v>
      </c>
      <c r="C27" s="332">
        <v>0.5</v>
      </c>
      <c r="D27" s="332">
        <v>0.75</v>
      </c>
      <c r="E27" s="332">
        <v>1</v>
      </c>
      <c r="F27" s="332">
        <v>1</v>
      </c>
      <c r="G27" s="332">
        <v>1</v>
      </c>
      <c r="H27" s="726" t="s">
        <v>57</v>
      </c>
      <c r="I27" s="722"/>
      <c r="J27" s="722"/>
      <c r="K27" s="723"/>
      <c r="L27" s="304">
        <v>1</v>
      </c>
      <c r="M27" s="305">
        <f>IF(L27=0,"-",ROUND(L27*B27/B$90,4))</f>
        <v>5.2600000000000001E-2</v>
      </c>
      <c r="O27" s="292" t="s">
        <v>390</v>
      </c>
      <c r="Q27" s="464">
        <v>600000</v>
      </c>
      <c r="R27" s="472">
        <v>215798.55</v>
      </c>
      <c r="S27" s="436">
        <f t="shared" ref="S27" si="0">R27*100/Q27</f>
        <v>35.966425000000001</v>
      </c>
      <c r="T27" s="502"/>
      <c r="U27" s="503"/>
      <c r="V27" s="445"/>
    </row>
    <row r="28" spans="1:30" ht="23.25">
      <c r="A28" s="309" t="s">
        <v>23</v>
      </c>
      <c r="B28" s="352"/>
      <c r="C28" s="320"/>
      <c r="D28" s="320"/>
      <c r="E28" s="320"/>
      <c r="F28" s="335" t="s">
        <v>70</v>
      </c>
      <c r="G28" s="335" t="s">
        <v>70</v>
      </c>
      <c r="H28" s="531" t="s">
        <v>58</v>
      </c>
      <c r="I28" s="535"/>
      <c r="J28" s="535"/>
      <c r="K28" s="532"/>
      <c r="L28" s="307"/>
      <c r="M28" s="308"/>
      <c r="Q28" s="611"/>
      <c r="R28" s="611"/>
      <c r="S28" s="494">
        <f>S27</f>
        <v>35.966425000000001</v>
      </c>
      <c r="T28" s="292" t="s">
        <v>51</v>
      </c>
      <c r="U28" s="445"/>
      <c r="V28" s="445"/>
    </row>
    <row r="29" spans="1:30" ht="23.25">
      <c r="A29" s="309" t="s">
        <v>24</v>
      </c>
      <c r="B29" s="352"/>
      <c r="C29" s="320"/>
      <c r="D29" s="320"/>
      <c r="E29" s="320"/>
      <c r="F29" s="335" t="s">
        <v>137</v>
      </c>
      <c r="G29" s="335" t="s">
        <v>138</v>
      </c>
      <c r="H29" s="531" t="s">
        <v>147</v>
      </c>
      <c r="I29" s="535"/>
      <c r="J29" s="535"/>
      <c r="K29" s="532"/>
      <c r="L29" s="307"/>
      <c r="M29" s="308"/>
    </row>
    <row r="30" spans="1:30" ht="23.25">
      <c r="A30" s="309"/>
      <c r="B30" s="352"/>
      <c r="C30" s="320"/>
      <c r="D30" s="320"/>
      <c r="E30" s="320"/>
      <c r="F30" s="320"/>
      <c r="G30" s="320"/>
      <c r="H30" s="531" t="s">
        <v>180</v>
      </c>
      <c r="I30" s="535"/>
      <c r="J30" s="535"/>
      <c r="K30" s="532"/>
      <c r="L30" s="307"/>
      <c r="M30" s="308"/>
      <c r="Q30" s="580"/>
      <c r="R30" s="580"/>
    </row>
    <row r="31" spans="1:30" ht="23.25">
      <c r="A31" s="309"/>
      <c r="B31" s="352"/>
      <c r="C31" s="320"/>
      <c r="D31" s="320"/>
      <c r="E31" s="320"/>
      <c r="F31" s="320"/>
      <c r="G31" s="311"/>
      <c r="H31" s="531"/>
      <c r="I31" s="323" t="s">
        <v>56</v>
      </c>
      <c r="J31" s="324">
        <f>S28</f>
        <v>35.966425000000001</v>
      </c>
      <c r="K31" s="532" t="s">
        <v>51</v>
      </c>
      <c r="L31" s="307"/>
      <c r="M31" s="308"/>
    </row>
    <row r="32" spans="1:30" ht="23.25">
      <c r="A32" s="309"/>
      <c r="B32" s="352"/>
      <c r="C32" s="320"/>
      <c r="D32" s="320"/>
      <c r="E32" s="320"/>
      <c r="F32" s="320"/>
      <c r="G32" s="320"/>
      <c r="H32" s="333"/>
      <c r="I32" s="306"/>
      <c r="J32" s="306"/>
      <c r="K32" s="312"/>
      <c r="L32" s="307"/>
      <c r="M32" s="308"/>
    </row>
    <row r="33" spans="1:18" ht="23.25">
      <c r="A33" s="302" t="s">
        <v>181</v>
      </c>
      <c r="B33" s="403">
        <v>4</v>
      </c>
      <c r="C33" s="332">
        <v>0.96</v>
      </c>
      <c r="D33" s="332">
        <v>0.97</v>
      </c>
      <c r="E33" s="332">
        <v>0.98</v>
      </c>
      <c r="F33" s="332">
        <v>0.99</v>
      </c>
      <c r="G33" s="332">
        <v>1</v>
      </c>
      <c r="H33" s="536" t="s">
        <v>148</v>
      </c>
      <c r="I33" s="533"/>
      <c r="J33" s="533"/>
      <c r="K33" s="534"/>
      <c r="L33" s="304">
        <f>4.9999</f>
        <v>4.9999000000000002</v>
      </c>
      <c r="M33" s="305">
        <f>IF(L33=0,"-",ROUND(L33*B33/B$90,4))</f>
        <v>0.26319999999999999</v>
      </c>
      <c r="N33" s="429" t="s">
        <v>214</v>
      </c>
      <c r="O33" s="454" t="s">
        <v>215</v>
      </c>
      <c r="P33" s="744">
        <v>9901225</v>
      </c>
      <c r="Q33" s="758"/>
    </row>
    <row r="34" spans="1:18" ht="23.25">
      <c r="A34" s="309" t="s">
        <v>26</v>
      </c>
      <c r="B34" s="352"/>
      <c r="C34" s="320"/>
      <c r="D34" s="320"/>
      <c r="E34" s="320"/>
      <c r="F34" s="320"/>
      <c r="G34" s="320"/>
      <c r="H34" s="380" t="s">
        <v>149</v>
      </c>
      <c r="I34" s="381"/>
      <c r="J34" s="381"/>
      <c r="K34" s="382"/>
      <c r="L34" s="307"/>
      <c r="M34" s="308"/>
      <c r="N34" s="452" t="s">
        <v>200</v>
      </c>
      <c r="O34" s="447" t="s">
        <v>216</v>
      </c>
      <c r="P34" s="756">
        <v>9901224</v>
      </c>
      <c r="Q34" s="757"/>
    </row>
    <row r="35" spans="1:18" ht="23.25">
      <c r="A35" s="309"/>
      <c r="B35" s="352"/>
      <c r="C35" s="320"/>
      <c r="D35" s="320"/>
      <c r="E35" s="320"/>
      <c r="F35" s="320"/>
      <c r="G35" s="320"/>
      <c r="H35" s="380" t="s">
        <v>75</v>
      </c>
      <c r="I35" s="381"/>
      <c r="J35" s="381"/>
      <c r="K35" s="382"/>
      <c r="L35" s="307"/>
      <c r="M35" s="308"/>
      <c r="Q35" s="436">
        <f>P34*100/P33</f>
        <v>99.999989900239612</v>
      </c>
      <c r="R35" s="292" t="s">
        <v>51</v>
      </c>
    </row>
    <row r="36" spans="1:18" ht="23.25">
      <c r="A36" s="309"/>
      <c r="B36" s="352"/>
      <c r="C36" s="320"/>
      <c r="D36" s="320"/>
      <c r="E36" s="320"/>
      <c r="F36" s="320"/>
      <c r="G36" s="320"/>
      <c r="H36" s="380" t="s">
        <v>182</v>
      </c>
      <c r="I36" s="383"/>
      <c r="J36" s="383"/>
      <c r="K36" s="384"/>
      <c r="L36" s="307"/>
      <c r="M36" s="308"/>
    </row>
    <row r="37" spans="1:18" ht="23.25">
      <c r="A37" s="309"/>
      <c r="B37" s="352"/>
      <c r="C37" s="320"/>
      <c r="D37" s="320"/>
      <c r="E37" s="320"/>
      <c r="F37" s="320"/>
      <c r="G37" s="311"/>
      <c r="H37" s="531"/>
      <c r="I37" s="323" t="s">
        <v>56</v>
      </c>
      <c r="J37" s="612">
        <f>Q35</f>
        <v>99.999989900239612</v>
      </c>
      <c r="K37" s="532" t="s">
        <v>51</v>
      </c>
      <c r="L37" s="307"/>
      <c r="M37" s="308"/>
    </row>
    <row r="38" spans="1:18" ht="23.25">
      <c r="A38" s="325"/>
      <c r="B38" s="359"/>
      <c r="C38" s="310"/>
      <c r="D38" s="310"/>
      <c r="E38" s="310"/>
      <c r="F38" s="310"/>
      <c r="G38" s="310"/>
      <c r="H38" s="329"/>
      <c r="I38" s="427"/>
      <c r="J38" s="427"/>
      <c r="K38" s="428"/>
      <c r="L38" s="326"/>
      <c r="M38" s="299"/>
    </row>
    <row r="39" spans="1:18" ht="23.25">
      <c r="A39" s="302" t="s">
        <v>183</v>
      </c>
      <c r="B39" s="403">
        <v>4</v>
      </c>
      <c r="C39" s="332">
        <v>0.8</v>
      </c>
      <c r="D39" s="332">
        <v>0.85</v>
      </c>
      <c r="E39" s="332">
        <v>0.9</v>
      </c>
      <c r="F39" s="332">
        <v>0.95</v>
      </c>
      <c r="G39" s="332">
        <v>1</v>
      </c>
      <c r="H39" s="386" t="s">
        <v>150</v>
      </c>
      <c r="I39" s="387"/>
      <c r="J39" s="387"/>
      <c r="K39" s="388"/>
      <c r="L39" s="304">
        <v>5</v>
      </c>
      <c r="M39" s="305">
        <f>IF(L39=0,"-",ROUND(L39*B39/B$90,4))</f>
        <v>0.26319999999999999</v>
      </c>
    </row>
    <row r="40" spans="1:18" ht="24" customHeight="1">
      <c r="A40" s="309" t="s">
        <v>28</v>
      </c>
      <c r="B40" s="352"/>
      <c r="C40" s="320"/>
      <c r="D40" s="320"/>
      <c r="E40" s="320"/>
      <c r="F40" s="320"/>
      <c r="G40" s="320"/>
      <c r="H40" s="531" t="s">
        <v>154</v>
      </c>
      <c r="I40" s="535"/>
      <c r="J40" s="535"/>
      <c r="K40" s="532"/>
      <c r="L40" s="307"/>
      <c r="M40" s="308"/>
    </row>
    <row r="41" spans="1:18" ht="23.25">
      <c r="A41" s="309" t="s">
        <v>60</v>
      </c>
      <c r="B41" s="352"/>
      <c r="C41" s="320"/>
      <c r="D41" s="320"/>
      <c r="E41" s="320"/>
      <c r="F41" s="320"/>
      <c r="G41" s="320"/>
      <c r="H41" s="531" t="s">
        <v>64</v>
      </c>
      <c r="I41" s="535"/>
      <c r="J41" s="535"/>
      <c r="K41" s="532"/>
      <c r="L41" s="307"/>
      <c r="M41" s="308"/>
    </row>
    <row r="42" spans="1:18" ht="23.25">
      <c r="A42" s="309"/>
      <c r="B42" s="352"/>
      <c r="C42" s="320"/>
      <c r="D42" s="320"/>
      <c r="E42" s="320"/>
      <c r="F42" s="320"/>
      <c r="G42" s="320"/>
      <c r="H42" s="380" t="s">
        <v>180</v>
      </c>
      <c r="I42" s="323"/>
      <c r="J42" s="322"/>
      <c r="K42" s="382"/>
      <c r="L42" s="307"/>
      <c r="M42" s="308"/>
    </row>
    <row r="43" spans="1:18" ht="23.25">
      <c r="A43" s="309"/>
      <c r="B43" s="352"/>
      <c r="C43" s="320"/>
      <c r="D43" s="320"/>
      <c r="E43" s="320"/>
      <c r="F43" s="320"/>
      <c r="G43" s="320"/>
      <c r="H43" s="380"/>
      <c r="I43" s="323" t="s">
        <v>66</v>
      </c>
      <c r="J43" s="334">
        <v>4</v>
      </c>
      <c r="K43" s="382" t="s">
        <v>61</v>
      </c>
      <c r="L43" s="307"/>
      <c r="M43" s="308"/>
    </row>
    <row r="44" spans="1:18" ht="23.25">
      <c r="A44" s="309"/>
      <c r="B44" s="352"/>
      <c r="C44" s="320"/>
      <c r="D44" s="320"/>
      <c r="E44" s="320"/>
      <c r="F44" s="320"/>
      <c r="G44" s="320"/>
      <c r="H44" s="380"/>
      <c r="I44" s="323" t="s">
        <v>67</v>
      </c>
      <c r="J44" s="334">
        <v>4</v>
      </c>
      <c r="K44" s="382" t="s">
        <v>61</v>
      </c>
      <c r="L44" s="307"/>
      <c r="M44" s="308"/>
    </row>
    <row r="45" spans="1:18" ht="23.25">
      <c r="A45" s="309"/>
      <c r="B45" s="352"/>
      <c r="C45" s="320"/>
      <c r="D45" s="320"/>
      <c r="E45" s="320"/>
      <c r="F45" s="320"/>
      <c r="G45" s="320"/>
      <c r="H45" s="531"/>
      <c r="I45" s="323" t="s">
        <v>81</v>
      </c>
      <c r="J45" s="334">
        <f>J44*100/J43</f>
        <v>100</v>
      </c>
      <c r="K45" s="532" t="s">
        <v>51</v>
      </c>
      <c r="L45" s="307"/>
      <c r="M45" s="308"/>
    </row>
    <row r="46" spans="1:18" ht="23.25">
      <c r="A46" s="325"/>
      <c r="B46" s="359"/>
      <c r="C46" s="310"/>
      <c r="D46" s="310"/>
      <c r="E46" s="310"/>
      <c r="F46" s="310"/>
      <c r="G46" s="310"/>
      <c r="H46" s="527"/>
      <c r="I46" s="427"/>
      <c r="J46" s="427"/>
      <c r="K46" s="428"/>
      <c r="L46" s="326"/>
      <c r="M46" s="299"/>
    </row>
    <row r="47" spans="1:18" ht="23.25">
      <c r="A47" s="302" t="s">
        <v>184</v>
      </c>
      <c r="B47" s="403">
        <v>4</v>
      </c>
      <c r="C47" s="332">
        <v>0.5</v>
      </c>
      <c r="D47" s="332">
        <v>0.75</v>
      </c>
      <c r="E47" s="332">
        <v>1</v>
      </c>
      <c r="F47" s="332">
        <v>1</v>
      </c>
      <c r="G47" s="332">
        <v>1</v>
      </c>
      <c r="H47" s="536" t="s">
        <v>152</v>
      </c>
      <c r="I47" s="533"/>
      <c r="J47" s="533"/>
      <c r="K47" s="534"/>
      <c r="L47" s="304">
        <v>1</v>
      </c>
      <c r="M47" s="305">
        <f>IF(L47=0,"-",ROUND(L47*B47/B$90,4))</f>
        <v>5.2600000000000001E-2</v>
      </c>
    </row>
    <row r="48" spans="1:18" ht="23.25">
      <c r="A48" s="309" t="s">
        <v>151</v>
      </c>
      <c r="B48" s="406"/>
      <c r="C48" s="335"/>
      <c r="D48" s="335"/>
      <c r="E48" s="335"/>
      <c r="F48" s="335" t="s">
        <v>70</v>
      </c>
      <c r="G48" s="335" t="s">
        <v>70</v>
      </c>
      <c r="H48" s="535" t="s">
        <v>153</v>
      </c>
      <c r="I48" s="535"/>
      <c r="J48" s="535"/>
      <c r="K48" s="532"/>
      <c r="L48" s="307"/>
      <c r="M48" s="308"/>
    </row>
    <row r="49" spans="1:13" ht="23.25">
      <c r="A49" s="309"/>
      <c r="B49" s="406"/>
      <c r="C49" s="335"/>
      <c r="D49" s="335"/>
      <c r="E49" s="335"/>
      <c r="F49" s="335" t="s">
        <v>137</v>
      </c>
      <c r="G49" s="335" t="s">
        <v>138</v>
      </c>
      <c r="H49" s="535" t="s">
        <v>180</v>
      </c>
      <c r="I49" s="535"/>
      <c r="J49" s="535"/>
      <c r="K49" s="532"/>
      <c r="L49" s="307"/>
      <c r="M49" s="308"/>
    </row>
    <row r="50" spans="1:13" ht="23.25">
      <c r="A50" s="309"/>
      <c r="B50" s="406"/>
      <c r="C50" s="336"/>
      <c r="D50" s="336"/>
      <c r="E50" s="336"/>
      <c r="F50" s="336"/>
      <c r="G50" s="390"/>
      <c r="H50" s="531"/>
      <c r="I50" s="323" t="s">
        <v>56</v>
      </c>
      <c r="J50" s="324">
        <v>50</v>
      </c>
      <c r="K50" s="532" t="s">
        <v>51</v>
      </c>
      <c r="L50" s="307"/>
      <c r="M50" s="308"/>
    </row>
    <row r="51" spans="1:13" ht="23.25">
      <c r="A51" s="325"/>
      <c r="B51" s="359"/>
      <c r="C51" s="310"/>
      <c r="D51" s="310"/>
      <c r="E51" s="310"/>
      <c r="F51" s="310"/>
      <c r="G51" s="310"/>
      <c r="H51" s="527"/>
      <c r="I51" s="528"/>
      <c r="J51" s="528"/>
      <c r="K51" s="529"/>
      <c r="L51" s="326"/>
      <c r="M51" s="299"/>
    </row>
    <row r="52" spans="1:13" ht="23.25">
      <c r="A52" s="302" t="s">
        <v>185</v>
      </c>
      <c r="B52" s="403">
        <v>12</v>
      </c>
      <c r="C52" s="332">
        <v>0.78</v>
      </c>
      <c r="D52" s="332">
        <v>0.81</v>
      </c>
      <c r="E52" s="332">
        <v>0.84</v>
      </c>
      <c r="F52" s="332">
        <v>0.87</v>
      </c>
      <c r="G52" s="332">
        <v>0.9</v>
      </c>
      <c r="H52" s="536" t="s">
        <v>186</v>
      </c>
      <c r="I52" s="533"/>
      <c r="J52" s="533"/>
      <c r="K52" s="534"/>
      <c r="L52" s="304">
        <v>1</v>
      </c>
      <c r="M52" s="305">
        <f>IF(L52=0,"-",ROUND(L52*B52/B$90,4))</f>
        <v>0.15790000000000001</v>
      </c>
    </row>
    <row r="53" spans="1:13" ht="23.25">
      <c r="A53" s="309" t="s">
        <v>85</v>
      </c>
      <c r="B53" s="352"/>
      <c r="C53" s="320"/>
      <c r="D53" s="320"/>
      <c r="E53" s="320"/>
      <c r="F53" s="320"/>
      <c r="G53" s="320"/>
      <c r="H53" s="531" t="s">
        <v>196</v>
      </c>
      <c r="I53" s="535"/>
      <c r="J53" s="535"/>
      <c r="K53" s="532"/>
      <c r="L53" s="307"/>
      <c r="M53" s="308"/>
    </row>
    <row r="54" spans="1:13" ht="23.25">
      <c r="A54" s="309"/>
      <c r="B54" s="352"/>
      <c r="C54" s="320"/>
      <c r="D54" s="320"/>
      <c r="E54" s="320"/>
      <c r="F54" s="320"/>
      <c r="G54" s="320"/>
      <c r="H54" s="327"/>
      <c r="I54" s="327" t="s">
        <v>87</v>
      </c>
      <c r="J54" s="433">
        <v>1361200000</v>
      </c>
      <c r="K54" s="532" t="s">
        <v>187</v>
      </c>
      <c r="L54" s="307"/>
      <c r="M54" s="308"/>
    </row>
    <row r="55" spans="1:13" ht="23.25">
      <c r="A55" s="309"/>
      <c r="B55" s="352"/>
      <c r="C55" s="320"/>
      <c r="D55" s="320"/>
      <c r="E55" s="320"/>
      <c r="F55" s="320"/>
      <c r="G55" s="320"/>
      <c r="H55" s="327"/>
      <c r="I55" s="323" t="s">
        <v>188</v>
      </c>
      <c r="J55" s="434">
        <v>821000000</v>
      </c>
      <c r="K55" s="532" t="s">
        <v>187</v>
      </c>
      <c r="L55" s="307"/>
      <c r="M55" s="308"/>
    </row>
    <row r="56" spans="1:13" ht="23.25">
      <c r="A56" s="309"/>
      <c r="B56" s="352"/>
      <c r="C56" s="320"/>
      <c r="D56" s="320"/>
      <c r="E56" s="320"/>
      <c r="F56" s="320"/>
      <c r="G56" s="320"/>
      <c r="H56" s="327"/>
      <c r="I56" s="323" t="s">
        <v>189</v>
      </c>
      <c r="J56" s="430">
        <f>J55*100/J54</f>
        <v>60.314428445489277</v>
      </c>
      <c r="K56" s="532" t="s">
        <v>51</v>
      </c>
      <c r="L56" s="307"/>
      <c r="M56" s="308"/>
    </row>
    <row r="57" spans="1:13" ht="23.25">
      <c r="A57" s="325"/>
      <c r="B57" s="359"/>
      <c r="C57" s="310"/>
      <c r="D57" s="310"/>
      <c r="E57" s="310"/>
      <c r="F57" s="310"/>
      <c r="G57" s="310"/>
      <c r="H57" s="337"/>
      <c r="I57" s="427"/>
      <c r="J57" s="338"/>
      <c r="K57" s="428"/>
      <c r="L57" s="326"/>
      <c r="M57" s="299"/>
    </row>
    <row r="58" spans="1:13" ht="23.25">
      <c r="A58" s="339" t="s">
        <v>190</v>
      </c>
      <c r="B58" s="407">
        <v>4</v>
      </c>
      <c r="C58" s="340">
        <v>0.65</v>
      </c>
      <c r="D58" s="340">
        <v>0.7</v>
      </c>
      <c r="E58" s="340">
        <v>0.75</v>
      </c>
      <c r="F58" s="340">
        <v>0.8</v>
      </c>
      <c r="G58" s="340">
        <v>0.85</v>
      </c>
      <c r="H58" s="536" t="s">
        <v>156</v>
      </c>
      <c r="I58" s="533"/>
      <c r="J58" s="533"/>
      <c r="K58" s="534"/>
      <c r="L58" s="304">
        <v>1</v>
      </c>
      <c r="M58" s="305">
        <f>IF(L58=0,"-",ROUND(L58*B58/B$90,4))</f>
        <v>5.2600000000000001E-2</v>
      </c>
    </row>
    <row r="59" spans="1:13" ht="23.25">
      <c r="A59" s="309" t="s">
        <v>145</v>
      </c>
      <c r="B59" s="352"/>
      <c r="C59" s="320"/>
      <c r="D59" s="320"/>
      <c r="E59" s="320"/>
      <c r="F59" s="320"/>
      <c r="G59" s="320"/>
      <c r="H59" s="531" t="s">
        <v>104</v>
      </c>
      <c r="I59" s="535"/>
      <c r="J59" s="535"/>
      <c r="K59" s="532"/>
      <c r="L59" s="307"/>
      <c r="M59" s="308"/>
    </row>
    <row r="60" spans="1:13" ht="23.25">
      <c r="A60" s="389" t="s">
        <v>155</v>
      </c>
      <c r="B60" s="352"/>
      <c r="C60" s="320"/>
      <c r="D60" s="320"/>
      <c r="E60" s="320"/>
      <c r="F60" s="320"/>
      <c r="G60" s="320"/>
      <c r="H60" s="531" t="s">
        <v>105</v>
      </c>
      <c r="I60" s="535"/>
      <c r="J60" s="535"/>
      <c r="K60" s="532"/>
      <c r="L60" s="307"/>
      <c r="M60" s="308"/>
    </row>
    <row r="61" spans="1:13" ht="23.25">
      <c r="A61" s="309"/>
      <c r="B61" s="352"/>
      <c r="C61" s="320"/>
      <c r="D61" s="320"/>
      <c r="E61" s="320"/>
      <c r="F61" s="320"/>
      <c r="G61" s="320"/>
      <c r="H61" s="341"/>
      <c r="I61" s="342" t="s">
        <v>113</v>
      </c>
      <c r="J61" s="343" t="s">
        <v>11</v>
      </c>
      <c r="K61" s="532" t="s">
        <v>51</v>
      </c>
      <c r="L61" s="307"/>
      <c r="M61" s="308"/>
    </row>
    <row r="62" spans="1:13" ht="23.25">
      <c r="A62" s="325"/>
      <c r="B62" s="359"/>
      <c r="C62" s="310"/>
      <c r="D62" s="310"/>
      <c r="E62" s="310"/>
      <c r="F62" s="310"/>
      <c r="G62" s="416"/>
      <c r="H62" s="705" t="s">
        <v>211</v>
      </c>
      <c r="I62" s="706"/>
      <c r="J62" s="706"/>
      <c r="K62" s="707"/>
      <c r="L62" s="326"/>
      <c r="M62" s="299"/>
    </row>
    <row r="63" spans="1:13" ht="23.25">
      <c r="A63" s="302" t="s">
        <v>106</v>
      </c>
      <c r="B63" s="407">
        <v>4</v>
      </c>
      <c r="C63" s="346" t="s">
        <v>29</v>
      </c>
      <c r="D63" s="346" t="s">
        <v>30</v>
      </c>
      <c r="E63" s="346" t="s">
        <v>31</v>
      </c>
      <c r="F63" s="346" t="s">
        <v>32</v>
      </c>
      <c r="G63" s="346" t="s">
        <v>33</v>
      </c>
      <c r="H63" s="536" t="s">
        <v>108</v>
      </c>
      <c r="I63" s="533"/>
      <c r="J63" s="533"/>
      <c r="K63" s="534"/>
      <c r="L63" s="304">
        <v>2</v>
      </c>
      <c r="M63" s="305">
        <f>IF(L63=0,"-",ROUND(L63*B63/B$90,4))</f>
        <v>0.1053</v>
      </c>
    </row>
    <row r="64" spans="1:13" ht="23.25">
      <c r="A64" s="309" t="s">
        <v>107</v>
      </c>
      <c r="B64" s="352"/>
      <c r="C64" s="348">
        <v>1.5</v>
      </c>
      <c r="D64" s="348">
        <v>2</v>
      </c>
      <c r="E64" s="348">
        <v>2.5</v>
      </c>
      <c r="F64" s="348">
        <v>3</v>
      </c>
      <c r="G64" s="348">
        <v>5</v>
      </c>
      <c r="H64" s="531" t="s">
        <v>146</v>
      </c>
      <c r="I64" s="535"/>
      <c r="J64" s="535"/>
      <c r="K64" s="532"/>
      <c r="L64" s="307"/>
      <c r="M64" s="308"/>
    </row>
    <row r="65" spans="1:15" ht="23.25">
      <c r="A65" s="309"/>
      <c r="B65" s="352"/>
      <c r="C65" s="344"/>
      <c r="D65" s="344"/>
      <c r="E65" s="344"/>
      <c r="F65" s="344"/>
      <c r="G65" s="344"/>
      <c r="H65" s="531" t="s">
        <v>110</v>
      </c>
      <c r="I65" s="535"/>
      <c r="J65" s="535"/>
      <c r="K65" s="532"/>
      <c r="L65" s="307"/>
      <c r="M65" s="308"/>
    </row>
    <row r="66" spans="1:15" ht="23.25">
      <c r="A66" s="309"/>
      <c r="B66" s="352"/>
      <c r="C66" s="344"/>
      <c r="D66" s="344"/>
      <c r="E66" s="344"/>
      <c r="F66" s="344"/>
      <c r="G66" s="344"/>
      <c r="H66" s="531" t="s">
        <v>191</v>
      </c>
      <c r="I66" s="535"/>
      <c r="J66" s="535"/>
      <c r="K66" s="532"/>
      <c r="L66" s="307"/>
      <c r="M66" s="308"/>
    </row>
    <row r="67" spans="1:15" ht="23.25">
      <c r="A67" s="309"/>
      <c r="B67" s="352"/>
      <c r="C67" s="344"/>
      <c r="D67" s="344"/>
      <c r="E67" s="344"/>
      <c r="F67" s="344"/>
      <c r="G67" s="344"/>
      <c r="H67" s="531"/>
      <c r="I67" s="323" t="s">
        <v>112</v>
      </c>
      <c r="J67" s="324">
        <v>2</v>
      </c>
      <c r="K67" s="382"/>
      <c r="L67" s="307"/>
      <c r="M67" s="308"/>
    </row>
    <row r="68" spans="1:15" ht="23.25">
      <c r="A68" s="325"/>
      <c r="B68" s="359"/>
      <c r="C68" s="310"/>
      <c r="D68" s="310"/>
      <c r="E68" s="310"/>
      <c r="F68" s="310"/>
      <c r="G68" s="310"/>
      <c r="H68" s="705"/>
      <c r="I68" s="706"/>
      <c r="J68" s="706"/>
      <c r="K68" s="707"/>
      <c r="L68" s="326"/>
      <c r="M68" s="299"/>
    </row>
    <row r="69" spans="1:15" ht="23.25">
      <c r="A69" s="350" t="s">
        <v>132</v>
      </c>
      <c r="B69" s="407">
        <v>4</v>
      </c>
      <c r="C69" s="340">
        <v>0.1</v>
      </c>
      <c r="D69" s="340">
        <v>0.3</v>
      </c>
      <c r="E69" s="340">
        <v>0.5</v>
      </c>
      <c r="F69" s="340">
        <v>0.7</v>
      </c>
      <c r="G69" s="340">
        <v>1</v>
      </c>
      <c r="H69" s="536" t="s">
        <v>123</v>
      </c>
      <c r="I69" s="533"/>
      <c r="J69" s="533"/>
      <c r="K69" s="534"/>
      <c r="L69" s="304">
        <v>4.9000000000000004</v>
      </c>
      <c r="M69" s="305">
        <f>IF(L69=0,"-",ROUND(L69*B69/B$90,4))</f>
        <v>0.25790000000000002</v>
      </c>
      <c r="N69" s="292">
        <v>30</v>
      </c>
      <c r="O69" s="613">
        <v>1</v>
      </c>
    </row>
    <row r="70" spans="1:15" ht="23.25">
      <c r="A70" s="351" t="s">
        <v>192</v>
      </c>
      <c r="B70" s="352"/>
      <c r="C70" s="320"/>
      <c r="D70" s="320"/>
      <c r="E70" s="320"/>
      <c r="F70" s="320"/>
      <c r="G70" s="311"/>
      <c r="H70" s="531" t="s">
        <v>124</v>
      </c>
      <c r="I70" s="322"/>
      <c r="J70" s="353"/>
      <c r="K70" s="354"/>
      <c r="L70" s="355"/>
      <c r="M70" s="308"/>
      <c r="N70" s="292">
        <v>27</v>
      </c>
      <c r="O70" s="613">
        <f>O69*N70/N69</f>
        <v>0.9</v>
      </c>
    </row>
    <row r="71" spans="1:15" ht="23.25">
      <c r="A71" s="351"/>
      <c r="B71" s="352"/>
      <c r="C71" s="320"/>
      <c r="D71" s="320"/>
      <c r="E71" s="320"/>
      <c r="F71" s="320"/>
      <c r="G71" s="320"/>
      <c r="H71" s="535" t="s">
        <v>125</v>
      </c>
      <c r="I71" s="322"/>
      <c r="J71" s="353"/>
      <c r="K71" s="354"/>
      <c r="L71" s="355"/>
      <c r="M71" s="308"/>
    </row>
    <row r="72" spans="1:15" ht="23.25">
      <c r="A72" s="351"/>
      <c r="B72" s="352"/>
      <c r="C72" s="320"/>
      <c r="D72" s="320"/>
      <c r="E72" s="320"/>
      <c r="F72" s="320"/>
      <c r="G72" s="320"/>
      <c r="H72" s="531" t="s">
        <v>126</v>
      </c>
      <c r="I72" s="322"/>
      <c r="J72" s="353"/>
      <c r="K72" s="354"/>
      <c r="L72" s="355"/>
      <c r="M72" s="308"/>
    </row>
    <row r="73" spans="1:15" ht="23.25">
      <c r="A73" s="351"/>
      <c r="B73" s="352"/>
      <c r="C73" s="320"/>
      <c r="D73" s="320"/>
      <c r="E73" s="320"/>
      <c r="F73" s="320"/>
      <c r="G73" s="320"/>
      <c r="H73" s="531" t="s">
        <v>127</v>
      </c>
      <c r="I73" s="322"/>
      <c r="J73" s="353"/>
      <c r="K73" s="354"/>
      <c r="L73" s="355"/>
      <c r="M73" s="308"/>
    </row>
    <row r="74" spans="1:15" ht="23.25">
      <c r="A74" s="351"/>
      <c r="B74" s="352"/>
      <c r="C74" s="320"/>
      <c r="D74" s="320"/>
      <c r="E74" s="320"/>
      <c r="F74" s="320"/>
      <c r="G74" s="320"/>
      <c r="H74" s="531"/>
      <c r="I74" s="323" t="s">
        <v>114</v>
      </c>
      <c r="J74" s="408">
        <v>97</v>
      </c>
      <c r="K74" s="382" t="s">
        <v>51</v>
      </c>
      <c r="L74" s="355"/>
      <c r="M74" s="308"/>
    </row>
    <row r="75" spans="1:15" ht="23.25">
      <c r="A75" s="358"/>
      <c r="B75" s="359"/>
      <c r="C75" s="310"/>
      <c r="D75" s="310"/>
      <c r="E75" s="310"/>
      <c r="F75" s="310"/>
      <c r="G75" s="310"/>
      <c r="H75" s="330"/>
      <c r="I75" s="427"/>
      <c r="J75" s="427"/>
      <c r="K75" s="428"/>
      <c r="L75" s="360"/>
      <c r="M75" s="299"/>
    </row>
    <row r="76" spans="1:15" ht="23.25">
      <c r="A76" s="302" t="s">
        <v>115</v>
      </c>
      <c r="B76" s="407">
        <v>4</v>
      </c>
      <c r="C76" s="361">
        <v>0.8</v>
      </c>
      <c r="D76" s="361">
        <v>0.85</v>
      </c>
      <c r="E76" s="361">
        <v>0.9</v>
      </c>
      <c r="F76" s="361">
        <v>0.95</v>
      </c>
      <c r="G76" s="361">
        <v>1</v>
      </c>
      <c r="H76" s="536" t="s">
        <v>157</v>
      </c>
      <c r="I76" s="533"/>
      <c r="J76" s="533"/>
      <c r="K76" s="534"/>
      <c r="L76" s="304">
        <v>5</v>
      </c>
      <c r="M76" s="305">
        <f>IF(L76=0,"-",ROUND(L76*B76/B$90,4))</f>
        <v>0.26319999999999999</v>
      </c>
    </row>
    <row r="77" spans="1:15" ht="23.25">
      <c r="A77" s="309" t="s">
        <v>116</v>
      </c>
      <c r="B77" s="352"/>
      <c r="C77" s="348"/>
      <c r="D77" s="348"/>
      <c r="E77" s="348"/>
      <c r="F77" s="348"/>
      <c r="G77" s="348"/>
      <c r="H77" s="531" t="s">
        <v>158</v>
      </c>
      <c r="I77" s="535"/>
      <c r="J77" s="535"/>
      <c r="K77" s="532"/>
      <c r="L77" s="362"/>
      <c r="M77" s="308"/>
    </row>
    <row r="78" spans="1:15" ht="23.25">
      <c r="A78" s="309" t="s">
        <v>193</v>
      </c>
      <c r="B78" s="352"/>
      <c r="C78" s="320"/>
      <c r="D78" s="320"/>
      <c r="E78" s="320"/>
      <c r="F78" s="320"/>
      <c r="G78" s="320"/>
      <c r="H78" s="531" t="s">
        <v>197</v>
      </c>
      <c r="I78" s="535"/>
      <c r="J78" s="535"/>
      <c r="K78" s="532"/>
      <c r="L78" s="362"/>
      <c r="M78" s="308"/>
    </row>
    <row r="79" spans="1:15" ht="23.25">
      <c r="A79" s="309"/>
      <c r="B79" s="352"/>
      <c r="C79" s="320"/>
      <c r="D79" s="320"/>
      <c r="E79" s="320"/>
      <c r="F79" s="320"/>
      <c r="G79" s="320"/>
      <c r="H79" s="531" t="s">
        <v>120</v>
      </c>
      <c r="I79" s="535"/>
      <c r="J79" s="535"/>
      <c r="K79" s="532"/>
      <c r="L79" s="362"/>
      <c r="M79" s="308"/>
    </row>
    <row r="80" spans="1:15" ht="23.25">
      <c r="A80" s="309"/>
      <c r="B80" s="352"/>
      <c r="C80" s="320"/>
      <c r="D80" s="320"/>
      <c r="E80" s="320"/>
      <c r="F80" s="320"/>
      <c r="G80" s="320"/>
      <c r="H80" s="531" t="s">
        <v>194</v>
      </c>
      <c r="I80" s="535"/>
      <c r="J80" s="535"/>
      <c r="K80" s="532"/>
      <c r="L80" s="362"/>
      <c r="M80" s="308"/>
    </row>
    <row r="81" spans="1:13" ht="23.25">
      <c r="A81" s="309"/>
      <c r="B81" s="352"/>
      <c r="C81" s="320"/>
      <c r="D81" s="320"/>
      <c r="E81" s="320"/>
      <c r="F81" s="320"/>
      <c r="G81" s="344"/>
      <c r="H81" s="531" t="s">
        <v>195</v>
      </c>
      <c r="I81" s="345"/>
      <c r="J81" s="408">
        <v>100</v>
      </c>
      <c r="K81" s="414" t="s">
        <v>51</v>
      </c>
      <c r="L81" s="413"/>
      <c r="M81" s="308"/>
    </row>
    <row r="82" spans="1:13" ht="23.25">
      <c r="A82" s="358"/>
      <c r="B82" s="415"/>
      <c r="C82" s="412"/>
      <c r="D82" s="412"/>
      <c r="E82" s="412"/>
      <c r="F82" s="412"/>
      <c r="G82" s="329"/>
      <c r="H82" s="538"/>
      <c r="I82" s="418"/>
      <c r="J82" s="419"/>
      <c r="K82" s="417"/>
      <c r="L82" s="420"/>
      <c r="M82" s="308"/>
    </row>
    <row r="83" spans="1:13" ht="23.25">
      <c r="A83" s="351" t="s">
        <v>316</v>
      </c>
      <c r="B83" s="543">
        <v>4</v>
      </c>
      <c r="C83" s="544">
        <v>0.4</v>
      </c>
      <c r="D83" s="544">
        <v>0.45</v>
      </c>
      <c r="E83" s="544">
        <v>0.5</v>
      </c>
      <c r="F83" s="544">
        <v>0.55000000000000004</v>
      </c>
      <c r="G83" s="544">
        <v>0.6</v>
      </c>
      <c r="H83" s="531" t="s">
        <v>317</v>
      </c>
      <c r="I83" s="345"/>
      <c r="J83" s="545"/>
      <c r="K83" s="546"/>
      <c r="L83" s="413">
        <v>4</v>
      </c>
      <c r="M83" s="305">
        <f>IF(L83=0,"-",ROUND(L83*B83/B$90,4))</f>
        <v>0.21049999999999999</v>
      </c>
    </row>
    <row r="84" spans="1:13" ht="23.25">
      <c r="A84" s="351" t="s">
        <v>318</v>
      </c>
      <c r="B84" s="406"/>
      <c r="C84" s="311"/>
      <c r="D84" s="311"/>
      <c r="E84" s="311"/>
      <c r="F84" s="311"/>
      <c r="G84" s="333"/>
      <c r="H84" s="531" t="s">
        <v>319</v>
      </c>
      <c r="I84" s="345"/>
      <c r="J84" s="545"/>
      <c r="K84" s="546"/>
      <c r="L84" s="413"/>
      <c r="M84" s="308"/>
    </row>
    <row r="85" spans="1:13" ht="23.25">
      <c r="A85" s="351"/>
      <c r="B85" s="406"/>
      <c r="C85" s="311"/>
      <c r="D85" s="311"/>
      <c r="E85" s="311"/>
      <c r="F85" s="311"/>
      <c r="G85" s="333"/>
      <c r="H85" s="531"/>
      <c r="I85" s="345"/>
      <c r="J85" s="545"/>
      <c r="K85" s="546"/>
      <c r="L85" s="413"/>
      <c r="M85" s="308"/>
    </row>
    <row r="86" spans="1:13" ht="23.25">
      <c r="A86" s="351"/>
      <c r="B86" s="406"/>
      <c r="C86" s="311"/>
      <c r="D86" s="311"/>
      <c r="E86" s="311"/>
      <c r="F86" s="311"/>
      <c r="G86" s="333"/>
      <c r="H86" s="531"/>
      <c r="I86" s="345" t="s">
        <v>174</v>
      </c>
      <c r="J86" s="547">
        <v>50</v>
      </c>
      <c r="K86" s="414" t="s">
        <v>51</v>
      </c>
      <c r="L86" s="413"/>
      <c r="M86" s="308"/>
    </row>
    <row r="87" spans="1:13" ht="23.25">
      <c r="A87" s="351"/>
      <c r="B87" s="406"/>
      <c r="C87" s="311"/>
      <c r="D87" s="311"/>
      <c r="E87" s="311"/>
      <c r="F87" s="311"/>
      <c r="G87" s="333"/>
      <c r="H87" s="531"/>
      <c r="I87" s="345"/>
      <c r="J87" s="545"/>
      <c r="K87" s="546"/>
      <c r="L87" s="413"/>
      <c r="M87" s="308"/>
    </row>
    <row r="88" spans="1:13" ht="23.25">
      <c r="A88" s="351"/>
      <c r="B88" s="406"/>
      <c r="C88" s="311"/>
      <c r="D88" s="311"/>
      <c r="E88" s="311"/>
      <c r="F88" s="311"/>
      <c r="G88" s="333"/>
      <c r="H88" s="531"/>
      <c r="I88" s="345"/>
      <c r="J88" s="545"/>
      <c r="K88" s="546"/>
      <c r="L88" s="413"/>
      <c r="M88" s="308"/>
    </row>
    <row r="89" spans="1:13" ht="23.25">
      <c r="A89" s="358"/>
      <c r="B89" s="415"/>
      <c r="C89" s="412"/>
      <c r="D89" s="412"/>
      <c r="E89" s="412"/>
      <c r="F89" s="412"/>
      <c r="G89" s="416"/>
      <c r="H89" s="538"/>
      <c r="I89" s="345"/>
      <c r="J89" s="545"/>
      <c r="K89" s="417"/>
      <c r="L89" s="413"/>
      <c r="M89" s="308"/>
    </row>
    <row r="90" spans="1:13" ht="26.25">
      <c r="A90" s="363"/>
      <c r="B90" s="409">
        <f>ROUND(SUM(B6:B89),1)</f>
        <v>76</v>
      </c>
      <c r="C90" s="364"/>
      <c r="D90" s="364"/>
      <c r="E90" s="364"/>
      <c r="F90" s="364"/>
      <c r="G90" s="365"/>
      <c r="H90" s="364"/>
      <c r="I90" s="364"/>
      <c r="J90" s="364"/>
      <c r="K90" s="364"/>
      <c r="L90" s="366" t="s">
        <v>139</v>
      </c>
      <c r="M90" s="410">
        <f>(SUM(M6:M89))</f>
        <v>2.0474000000000001</v>
      </c>
    </row>
  </sheetData>
  <mergeCells count="21"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  <mergeCell ref="P34:Q34"/>
    <mergeCell ref="H62:K62"/>
    <mergeCell ref="H68:K68"/>
    <mergeCell ref="H14:K14"/>
    <mergeCell ref="H15:K15"/>
    <mergeCell ref="H20:K20"/>
    <mergeCell ref="H22:K22"/>
    <mergeCell ref="H27:K27"/>
    <mergeCell ref="P33:Q33"/>
  </mergeCells>
  <printOptions horizontalCentered="1"/>
  <pageMargins left="0.196850393700787" right="0" top="0.55118110200000003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32" max="12" man="1"/>
    <brk id="62" max="12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B83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65.28515625" style="292" bestFit="1" customWidth="1"/>
    <col min="16" max="16" width="4.85546875" style="292" bestFit="1" customWidth="1"/>
    <col min="17" max="17" width="15.28515625" style="292" bestFit="1" customWidth="1"/>
    <col min="18" max="18" width="13.85546875" style="292" bestFit="1" customWidth="1"/>
    <col min="19" max="16384" width="9.140625" style="292"/>
  </cols>
  <sheetData>
    <row r="1" spans="1:28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28" ht="24" customHeight="1">
      <c r="A2" s="710" t="s">
        <v>391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28" ht="24" customHeight="1">
      <c r="A3" s="293" t="s">
        <v>321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</row>
    <row r="5" spans="1:28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34"/>
      <c r="I5" s="735"/>
      <c r="J5" s="735"/>
      <c r="K5" s="736"/>
      <c r="L5" s="719"/>
      <c r="M5" s="301" t="s">
        <v>9</v>
      </c>
    </row>
    <row r="6" spans="1:28" ht="24" customHeight="1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726" t="s">
        <v>141</v>
      </c>
      <c r="I6" s="722"/>
      <c r="J6" s="722"/>
      <c r="K6" s="723"/>
      <c r="L6" s="304">
        <v>1</v>
      </c>
      <c r="M6" s="305">
        <f>IF(L6=0,"-",ROUND(L6*B6/B$83,4))</f>
        <v>6.25E-2</v>
      </c>
      <c r="N6" s="429" t="s">
        <v>367</v>
      </c>
      <c r="Q6" s="580"/>
      <c r="S6" s="356"/>
      <c r="T6" s="356"/>
      <c r="U6" s="356"/>
      <c r="V6" s="356"/>
      <c r="W6" s="356"/>
      <c r="X6" s="356"/>
      <c r="Y6" s="356"/>
      <c r="Z6" s="356"/>
      <c r="AA6" s="356"/>
      <c r="AB6" s="356"/>
    </row>
    <row r="7" spans="1:28" ht="24" customHeight="1">
      <c r="A7" s="309" t="s">
        <v>44</v>
      </c>
      <c r="B7" s="399"/>
      <c r="C7" s="320"/>
      <c r="D7" s="320"/>
      <c r="E7" s="320"/>
      <c r="F7" s="320"/>
      <c r="G7" s="320"/>
      <c r="H7" s="720" t="s">
        <v>142</v>
      </c>
      <c r="I7" s="724"/>
      <c r="J7" s="724"/>
      <c r="K7" s="721"/>
      <c r="L7" s="307"/>
      <c r="M7" s="308"/>
      <c r="N7" s="429" t="s">
        <v>237</v>
      </c>
      <c r="Q7" s="580"/>
      <c r="R7" s="580"/>
      <c r="S7" s="356"/>
      <c r="T7" s="356"/>
      <c r="U7" s="356"/>
      <c r="V7" s="356"/>
      <c r="W7" s="356"/>
      <c r="X7" s="356"/>
      <c r="Y7" s="356"/>
      <c r="Z7" s="356"/>
      <c r="AA7" s="356"/>
      <c r="AB7" s="356"/>
    </row>
    <row r="8" spans="1:28" ht="24" customHeight="1">
      <c r="A8" s="309"/>
      <c r="B8" s="399"/>
      <c r="C8" s="320"/>
      <c r="D8" s="320"/>
      <c r="E8" s="320"/>
      <c r="F8" s="320"/>
      <c r="G8" s="320"/>
      <c r="H8" s="720" t="s">
        <v>143</v>
      </c>
      <c r="I8" s="724"/>
      <c r="J8" s="724"/>
      <c r="K8" s="721"/>
      <c r="L8" s="307"/>
      <c r="M8" s="308"/>
    </row>
    <row r="9" spans="1:28" ht="23.25">
      <c r="A9" s="309"/>
      <c r="B9" s="399"/>
      <c r="C9" s="320"/>
      <c r="D9" s="320"/>
      <c r="E9" s="320"/>
      <c r="F9" s="320"/>
      <c r="G9" s="320"/>
      <c r="H9" s="720" t="s">
        <v>144</v>
      </c>
      <c r="I9" s="724"/>
      <c r="J9" s="724"/>
      <c r="K9" s="721"/>
      <c r="L9" s="307"/>
      <c r="M9" s="308"/>
    </row>
    <row r="10" spans="1:28" ht="23.25">
      <c r="A10" s="309"/>
      <c r="B10" s="399"/>
      <c r="C10" s="320"/>
      <c r="D10" s="320"/>
      <c r="E10" s="320"/>
      <c r="F10" s="320"/>
      <c r="G10" s="320"/>
      <c r="H10" s="720" t="s">
        <v>170</v>
      </c>
      <c r="I10" s="724"/>
      <c r="J10" s="724"/>
      <c r="K10" s="721"/>
      <c r="L10" s="307"/>
      <c r="M10" s="308"/>
    </row>
    <row r="11" spans="1:28" ht="23.25">
      <c r="A11" s="309"/>
      <c r="B11" s="399"/>
      <c r="C11" s="320"/>
      <c r="D11" s="320"/>
      <c r="E11" s="320"/>
      <c r="F11" s="320"/>
      <c r="G11" s="320"/>
      <c r="I11" s="323" t="s">
        <v>54</v>
      </c>
      <c r="J11" s="324" t="s">
        <v>11</v>
      </c>
      <c r="K11" s="532" t="s">
        <v>51</v>
      </c>
      <c r="L11" s="307"/>
      <c r="M11" s="308"/>
      <c r="Q11" s="561"/>
      <c r="R11" s="446"/>
    </row>
    <row r="12" spans="1:28" ht="23.25">
      <c r="A12" s="325"/>
      <c r="B12" s="402"/>
      <c r="C12" s="310"/>
      <c r="D12" s="310"/>
      <c r="E12" s="310"/>
      <c r="F12" s="310"/>
      <c r="G12" s="310"/>
      <c r="H12" s="705" t="s">
        <v>212</v>
      </c>
      <c r="I12" s="706"/>
      <c r="J12" s="706"/>
      <c r="K12" s="707"/>
      <c r="L12" s="326"/>
      <c r="M12" s="299"/>
      <c r="Q12" s="530" t="s">
        <v>324</v>
      </c>
      <c r="R12" s="530" t="s">
        <v>240</v>
      </c>
    </row>
    <row r="13" spans="1:28" ht="23.2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722" t="s">
        <v>171</v>
      </c>
      <c r="I13" s="722"/>
      <c r="J13" s="722"/>
      <c r="K13" s="723"/>
      <c r="L13" s="304">
        <v>1</v>
      </c>
      <c r="M13" s="305">
        <f>IF(L13=0,"-",ROUND(L13*B13/B$83,4))</f>
        <v>0.1875</v>
      </c>
      <c r="N13" s="429" t="s">
        <v>199</v>
      </c>
      <c r="O13" s="292" t="s">
        <v>392</v>
      </c>
      <c r="Q13" s="568">
        <v>168675875</v>
      </c>
      <c r="R13" s="614">
        <v>59.81</v>
      </c>
      <c r="S13" s="292" t="s">
        <v>51</v>
      </c>
    </row>
    <row r="14" spans="1:28" ht="23.25">
      <c r="A14" s="309" t="s">
        <v>21</v>
      </c>
      <c r="B14" s="352"/>
      <c r="C14" s="320"/>
      <c r="D14" s="320"/>
      <c r="E14" s="320"/>
      <c r="F14" s="320"/>
      <c r="G14" s="320"/>
      <c r="H14" s="720" t="s">
        <v>83</v>
      </c>
      <c r="I14" s="724"/>
      <c r="J14" s="724"/>
      <c r="K14" s="721"/>
      <c r="L14" s="307"/>
      <c r="M14" s="308"/>
      <c r="N14" s="487" t="s">
        <v>237</v>
      </c>
      <c r="Q14" s="580"/>
      <c r="R14" s="580"/>
    </row>
    <row r="15" spans="1:28" ht="23.25">
      <c r="A15" s="309"/>
      <c r="B15" s="352"/>
      <c r="C15" s="320"/>
      <c r="D15" s="320"/>
      <c r="E15" s="320"/>
      <c r="F15" s="320"/>
      <c r="G15" s="320"/>
      <c r="H15" s="720" t="s">
        <v>172</v>
      </c>
      <c r="I15" s="724"/>
      <c r="J15" s="724"/>
      <c r="K15" s="721"/>
      <c r="L15" s="307"/>
      <c r="M15" s="308"/>
      <c r="Q15" s="580"/>
      <c r="R15" s="580"/>
    </row>
    <row r="16" spans="1:28" ht="23.2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32"/>
      <c r="L16" s="307"/>
      <c r="M16" s="308"/>
      <c r="Q16" s="580"/>
      <c r="R16" s="580"/>
    </row>
    <row r="17" spans="1:19" ht="25.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32"/>
      <c r="L17" s="307"/>
      <c r="M17" s="308"/>
      <c r="Q17" s="502"/>
      <c r="R17" s="503"/>
      <c r="S17" s="445"/>
    </row>
    <row r="18" spans="1:19" ht="23.2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570">
        <f>R13</f>
        <v>59.81</v>
      </c>
      <c r="K18" s="532" t="s">
        <v>51</v>
      </c>
      <c r="L18" s="307"/>
      <c r="M18" s="308"/>
    </row>
    <row r="19" spans="1:19" ht="23.2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  <c r="Q19" s="530" t="s">
        <v>324</v>
      </c>
      <c r="R19" s="530" t="s">
        <v>330</v>
      </c>
    </row>
    <row r="20" spans="1:19" ht="23.25">
      <c r="A20" s="302" t="s">
        <v>179</v>
      </c>
      <c r="B20" s="403">
        <v>4</v>
      </c>
      <c r="C20" s="332">
        <v>0.5</v>
      </c>
      <c r="D20" s="332">
        <v>0.75</v>
      </c>
      <c r="E20" s="332">
        <v>1</v>
      </c>
      <c r="F20" s="332">
        <v>1</v>
      </c>
      <c r="G20" s="332">
        <v>1</v>
      </c>
      <c r="H20" s="726" t="s">
        <v>57</v>
      </c>
      <c r="I20" s="722"/>
      <c r="J20" s="722"/>
      <c r="K20" s="723"/>
      <c r="L20" s="304">
        <f>2+O23</f>
        <v>2.6936498666666666</v>
      </c>
      <c r="M20" s="305">
        <f>IF(L20=0,"-",ROUND(L20*B20/B$83,4))</f>
        <v>0.16839999999999999</v>
      </c>
      <c r="N20" s="429" t="s">
        <v>199</v>
      </c>
      <c r="O20" s="292" t="s">
        <v>393</v>
      </c>
      <c r="Q20" s="577">
        <v>600000</v>
      </c>
      <c r="R20" s="596">
        <v>554047.48</v>
      </c>
      <c r="S20" s="292" t="s">
        <v>187</v>
      </c>
    </row>
    <row r="21" spans="1:19" ht="23.25">
      <c r="A21" s="309" t="s">
        <v>23</v>
      </c>
      <c r="B21" s="352"/>
      <c r="C21" s="320"/>
      <c r="D21" s="320"/>
      <c r="E21" s="320"/>
      <c r="F21" s="335" t="s">
        <v>70</v>
      </c>
      <c r="G21" s="335" t="s">
        <v>70</v>
      </c>
      <c r="H21" s="531" t="s">
        <v>58</v>
      </c>
      <c r="I21" s="535"/>
      <c r="J21" s="535"/>
      <c r="K21" s="532"/>
      <c r="L21" s="307"/>
      <c r="M21" s="308"/>
      <c r="N21" s="487" t="s">
        <v>237</v>
      </c>
      <c r="P21" s="292" t="s">
        <v>349</v>
      </c>
      <c r="Q21" s="577">
        <f>Q20</f>
        <v>600000</v>
      </c>
      <c r="R21" s="596">
        <f>R20</f>
        <v>554047.48</v>
      </c>
      <c r="S21" s="292" t="s">
        <v>187</v>
      </c>
    </row>
    <row r="22" spans="1:19" ht="23.25">
      <c r="A22" s="309" t="s">
        <v>24</v>
      </c>
      <c r="B22" s="352"/>
      <c r="C22" s="320"/>
      <c r="D22" s="320"/>
      <c r="E22" s="320"/>
      <c r="F22" s="335" t="s">
        <v>137</v>
      </c>
      <c r="G22" s="335" t="s">
        <v>138</v>
      </c>
      <c r="H22" s="531" t="s">
        <v>147</v>
      </c>
      <c r="I22" s="535"/>
      <c r="J22" s="535"/>
      <c r="K22" s="532"/>
      <c r="L22" s="307"/>
      <c r="M22" s="308"/>
      <c r="N22" s="292">
        <v>25</v>
      </c>
      <c r="O22" s="435">
        <v>1</v>
      </c>
      <c r="Q22" s="485">
        <f>R21*100/Q21</f>
        <v>92.341246666666663</v>
      </c>
      <c r="R22" s="292" t="s">
        <v>51</v>
      </c>
    </row>
    <row r="23" spans="1:19" ht="23.25">
      <c r="A23" s="309"/>
      <c r="B23" s="352"/>
      <c r="C23" s="320"/>
      <c r="D23" s="320"/>
      <c r="E23" s="320"/>
      <c r="F23" s="320"/>
      <c r="G23" s="320"/>
      <c r="H23" s="531" t="s">
        <v>180</v>
      </c>
      <c r="I23" s="535"/>
      <c r="J23" s="535"/>
      <c r="K23" s="532"/>
      <c r="L23" s="307"/>
      <c r="M23" s="308"/>
      <c r="N23" s="562">
        <f>J24-75</f>
        <v>17.341246666666663</v>
      </c>
      <c r="O23" s="615">
        <f>O22*N23/N22</f>
        <v>0.6936498666666665</v>
      </c>
      <c r="Q23" s="580"/>
      <c r="R23" s="580"/>
    </row>
    <row r="24" spans="1:19" ht="23.25">
      <c r="A24" s="309"/>
      <c r="B24" s="352"/>
      <c r="C24" s="320"/>
      <c r="D24" s="320"/>
      <c r="E24" s="320"/>
      <c r="F24" s="320"/>
      <c r="G24" s="311"/>
      <c r="H24" s="531"/>
      <c r="I24" s="323" t="s">
        <v>56</v>
      </c>
      <c r="J24" s="324">
        <f>Q22</f>
        <v>92.341246666666663</v>
      </c>
      <c r="K24" s="532" t="s">
        <v>51</v>
      </c>
      <c r="L24" s="307"/>
      <c r="M24" s="308"/>
    </row>
    <row r="25" spans="1:19" ht="23.25">
      <c r="A25" s="309"/>
      <c r="B25" s="352"/>
      <c r="C25" s="320"/>
      <c r="D25" s="320"/>
      <c r="E25" s="320"/>
      <c r="F25" s="320"/>
      <c r="G25" s="320"/>
      <c r="H25" s="333"/>
      <c r="I25" s="306"/>
      <c r="J25" s="306"/>
      <c r="K25" s="312"/>
      <c r="L25" s="307"/>
      <c r="M25" s="308"/>
    </row>
    <row r="26" spans="1:19" ht="23.25">
      <c r="A26" s="302" t="s">
        <v>181</v>
      </c>
      <c r="B26" s="403">
        <v>4</v>
      </c>
      <c r="C26" s="332">
        <v>0.96</v>
      </c>
      <c r="D26" s="332">
        <v>0.97</v>
      </c>
      <c r="E26" s="332">
        <v>0.98</v>
      </c>
      <c r="F26" s="332">
        <v>0.99</v>
      </c>
      <c r="G26" s="332">
        <v>1</v>
      </c>
      <c r="H26" s="536" t="s">
        <v>148</v>
      </c>
      <c r="I26" s="533"/>
      <c r="J26" s="533"/>
      <c r="K26" s="534"/>
      <c r="L26" s="304">
        <f>4+O30</f>
        <v>4.9999000000000002</v>
      </c>
      <c r="M26" s="305">
        <f>IF(L26=0,"-",ROUND(L26*B26/B$83,4))</f>
        <v>0.3125</v>
      </c>
      <c r="N26" s="429" t="s">
        <v>331</v>
      </c>
      <c r="O26" s="454" t="s">
        <v>215</v>
      </c>
      <c r="P26" s="455"/>
      <c r="Q26" s="456"/>
      <c r="R26" s="457">
        <v>48296613</v>
      </c>
      <c r="S26" s="292" t="s">
        <v>187</v>
      </c>
    </row>
    <row r="27" spans="1:19" ht="23.25">
      <c r="A27" s="309" t="s">
        <v>26</v>
      </c>
      <c r="B27" s="352"/>
      <c r="C27" s="320"/>
      <c r="D27" s="320"/>
      <c r="E27" s="320"/>
      <c r="F27" s="320"/>
      <c r="G27" s="320"/>
      <c r="H27" s="380" t="s">
        <v>149</v>
      </c>
      <c r="I27" s="381"/>
      <c r="J27" s="381"/>
      <c r="K27" s="382"/>
      <c r="L27" s="307"/>
      <c r="M27" s="308"/>
      <c r="N27" s="487" t="s">
        <v>237</v>
      </c>
      <c r="O27" s="447" t="s">
        <v>216</v>
      </c>
      <c r="P27" s="448"/>
      <c r="Q27" s="450"/>
      <c r="R27" s="477">
        <v>48296612</v>
      </c>
      <c r="S27" s="292" t="s">
        <v>187</v>
      </c>
    </row>
    <row r="28" spans="1:19" ht="23.25">
      <c r="A28" s="309"/>
      <c r="B28" s="352"/>
      <c r="C28" s="320"/>
      <c r="D28" s="320"/>
      <c r="E28" s="320"/>
      <c r="F28" s="320"/>
      <c r="G28" s="320"/>
      <c r="H28" s="380" t="s">
        <v>75</v>
      </c>
      <c r="I28" s="381"/>
      <c r="J28" s="381"/>
      <c r="K28" s="382"/>
      <c r="L28" s="307"/>
      <c r="M28" s="308"/>
      <c r="R28" s="436">
        <f>R27*100/R26</f>
        <v>99.999997929461429</v>
      </c>
      <c r="S28" s="292" t="s">
        <v>51</v>
      </c>
    </row>
    <row r="29" spans="1:19" ht="23.25">
      <c r="A29" s="309"/>
      <c r="B29" s="352"/>
      <c r="C29" s="320"/>
      <c r="D29" s="320"/>
      <c r="E29" s="320"/>
      <c r="F29" s="320"/>
      <c r="G29" s="320"/>
      <c r="H29" s="380" t="s">
        <v>182</v>
      </c>
      <c r="I29" s="383"/>
      <c r="J29" s="383"/>
      <c r="K29" s="384"/>
      <c r="L29" s="307"/>
      <c r="M29" s="308"/>
      <c r="N29" s="292">
        <v>1</v>
      </c>
      <c r="O29" s="435">
        <v>1</v>
      </c>
    </row>
    <row r="30" spans="1:19" ht="23.25">
      <c r="A30" s="309"/>
      <c r="B30" s="352"/>
      <c r="C30" s="320"/>
      <c r="D30" s="320"/>
      <c r="E30" s="320"/>
      <c r="F30" s="320"/>
      <c r="G30" s="311"/>
      <c r="H30" s="531"/>
      <c r="I30" s="323" t="s">
        <v>56</v>
      </c>
      <c r="J30" s="616">
        <f>R28</f>
        <v>99.999997929461429</v>
      </c>
      <c r="K30" s="532" t="s">
        <v>51</v>
      </c>
      <c r="L30" s="307"/>
      <c r="M30" s="308"/>
      <c r="N30" s="292">
        <v>0.99990000000000001</v>
      </c>
      <c r="O30" s="435">
        <f>O29*N30/N29</f>
        <v>0.99990000000000001</v>
      </c>
    </row>
    <row r="31" spans="1:19" ht="23.25">
      <c r="A31" s="325"/>
      <c r="B31" s="359"/>
      <c r="C31" s="310"/>
      <c r="D31" s="310"/>
      <c r="E31" s="310"/>
      <c r="F31" s="310"/>
      <c r="G31" s="310"/>
      <c r="H31" s="329"/>
      <c r="I31" s="427"/>
      <c r="J31" s="427"/>
      <c r="K31" s="428"/>
      <c r="L31" s="326"/>
      <c r="M31" s="299"/>
    </row>
    <row r="32" spans="1:19" ht="23.25">
      <c r="A32" s="302" t="s">
        <v>183</v>
      </c>
      <c r="B32" s="403">
        <v>4</v>
      </c>
      <c r="C32" s="332">
        <v>0.8</v>
      </c>
      <c r="D32" s="332">
        <v>0.85</v>
      </c>
      <c r="E32" s="332">
        <v>0.9</v>
      </c>
      <c r="F32" s="332">
        <v>0.95</v>
      </c>
      <c r="G32" s="332">
        <v>1</v>
      </c>
      <c r="H32" s="386" t="s">
        <v>150</v>
      </c>
      <c r="I32" s="387"/>
      <c r="J32" s="387"/>
      <c r="K32" s="388"/>
      <c r="L32" s="304">
        <v>5</v>
      </c>
      <c r="M32" s="305">
        <f>IF(L32=0,"-",ROUND(L32*B32/B$83,4))</f>
        <v>0.3125</v>
      </c>
      <c r="N32" s="429" t="s">
        <v>201</v>
      </c>
    </row>
    <row r="33" spans="1:15" ht="24" customHeight="1">
      <c r="A33" s="309" t="s">
        <v>28</v>
      </c>
      <c r="B33" s="352"/>
      <c r="C33" s="320"/>
      <c r="D33" s="320"/>
      <c r="E33" s="320"/>
      <c r="F33" s="320"/>
      <c r="G33" s="320"/>
      <c r="H33" s="531" t="s">
        <v>154</v>
      </c>
      <c r="I33" s="535"/>
      <c r="J33" s="535"/>
      <c r="K33" s="532"/>
      <c r="L33" s="307"/>
      <c r="M33" s="308"/>
      <c r="N33" s="487" t="s">
        <v>237</v>
      </c>
    </row>
    <row r="34" spans="1:15" ht="23.25">
      <c r="A34" s="309" t="s">
        <v>60</v>
      </c>
      <c r="B34" s="352"/>
      <c r="C34" s="320"/>
      <c r="D34" s="320"/>
      <c r="E34" s="320"/>
      <c r="F34" s="320"/>
      <c r="G34" s="320"/>
      <c r="H34" s="531" t="s">
        <v>64</v>
      </c>
      <c r="I34" s="535"/>
      <c r="J34" s="535"/>
      <c r="K34" s="532"/>
      <c r="L34" s="307"/>
      <c r="M34" s="308"/>
    </row>
    <row r="35" spans="1:15" ht="23.25">
      <c r="A35" s="309"/>
      <c r="B35" s="352"/>
      <c r="C35" s="320"/>
      <c r="D35" s="320"/>
      <c r="E35" s="320"/>
      <c r="F35" s="320"/>
      <c r="G35" s="320"/>
      <c r="H35" s="380" t="s">
        <v>180</v>
      </c>
      <c r="I35" s="323"/>
      <c r="J35" s="322" t="s">
        <v>364</v>
      </c>
      <c r="K35" s="382"/>
      <c r="L35" s="307"/>
      <c r="M35" s="308"/>
    </row>
    <row r="36" spans="1:15" ht="23.25">
      <c r="A36" s="309"/>
      <c r="B36" s="352"/>
      <c r="C36" s="320"/>
      <c r="D36" s="320"/>
      <c r="E36" s="320"/>
      <c r="F36" s="320"/>
      <c r="G36" s="320"/>
      <c r="H36" s="380"/>
      <c r="I36" s="323" t="s">
        <v>66</v>
      </c>
      <c r="J36" s="334">
        <v>1</v>
      </c>
      <c r="K36" s="382" t="s">
        <v>61</v>
      </c>
      <c r="L36" s="307"/>
      <c r="M36" s="308"/>
    </row>
    <row r="37" spans="1:15" ht="23.25">
      <c r="A37" s="309"/>
      <c r="B37" s="352"/>
      <c r="C37" s="320"/>
      <c r="D37" s="320"/>
      <c r="E37" s="320"/>
      <c r="F37" s="320"/>
      <c r="G37" s="320"/>
      <c r="H37" s="380"/>
      <c r="I37" s="323" t="s">
        <v>67</v>
      </c>
      <c r="J37" s="334">
        <v>1</v>
      </c>
      <c r="K37" s="382" t="s">
        <v>61</v>
      </c>
      <c r="L37" s="307"/>
      <c r="M37" s="308"/>
    </row>
    <row r="38" spans="1:15" ht="23.25">
      <c r="A38" s="309"/>
      <c r="B38" s="352"/>
      <c r="C38" s="320"/>
      <c r="D38" s="320"/>
      <c r="E38" s="320"/>
      <c r="F38" s="320"/>
      <c r="G38" s="320"/>
      <c r="H38" s="531"/>
      <c r="I38" s="323" t="s">
        <v>81</v>
      </c>
      <c r="J38" s="334">
        <f>J37*100/J36</f>
        <v>100</v>
      </c>
      <c r="K38" s="532" t="s">
        <v>51</v>
      </c>
      <c r="L38" s="307"/>
      <c r="M38" s="308"/>
    </row>
    <row r="39" spans="1:15" ht="23.25">
      <c r="A39" s="325"/>
      <c r="B39" s="359"/>
      <c r="C39" s="310"/>
      <c r="D39" s="310"/>
      <c r="E39" s="310"/>
      <c r="F39" s="310"/>
      <c r="G39" s="310"/>
      <c r="H39" s="527"/>
      <c r="I39" s="427"/>
      <c r="J39" s="427"/>
      <c r="K39" s="428"/>
      <c r="L39" s="326"/>
      <c r="M39" s="299"/>
    </row>
    <row r="40" spans="1:15" ht="23.25">
      <c r="A40" s="302" t="s">
        <v>184</v>
      </c>
      <c r="B40" s="403">
        <v>4</v>
      </c>
      <c r="C40" s="332">
        <v>0.5</v>
      </c>
      <c r="D40" s="332">
        <v>0.75</v>
      </c>
      <c r="E40" s="332">
        <v>1</v>
      </c>
      <c r="F40" s="332">
        <v>1</v>
      </c>
      <c r="G40" s="332">
        <v>1</v>
      </c>
      <c r="H40" s="536" t="s">
        <v>152</v>
      </c>
      <c r="I40" s="533"/>
      <c r="J40" s="533"/>
      <c r="K40" s="534"/>
      <c r="L40" s="304">
        <v>2</v>
      </c>
      <c r="M40" s="305">
        <f>IF(L40=0,"-",ROUND(L40*B40/B$83,4))</f>
        <v>0.125</v>
      </c>
      <c r="N40" s="429" t="s">
        <v>332</v>
      </c>
    </row>
    <row r="41" spans="1:15" ht="23.25">
      <c r="A41" s="309" t="s">
        <v>151</v>
      </c>
      <c r="B41" s="406"/>
      <c r="C41" s="335"/>
      <c r="D41" s="335"/>
      <c r="E41" s="335"/>
      <c r="F41" s="335" t="s">
        <v>70</v>
      </c>
      <c r="G41" s="335" t="s">
        <v>70</v>
      </c>
      <c r="H41" s="535" t="s">
        <v>153</v>
      </c>
      <c r="I41" s="535"/>
      <c r="J41" s="535"/>
      <c r="K41" s="532"/>
      <c r="L41" s="307"/>
      <c r="M41" s="308"/>
      <c r="N41" s="487" t="s">
        <v>237</v>
      </c>
    </row>
    <row r="42" spans="1:15" ht="23.25">
      <c r="A42" s="309"/>
      <c r="B42" s="406"/>
      <c r="C42" s="335"/>
      <c r="D42" s="335"/>
      <c r="E42" s="335"/>
      <c r="F42" s="335" t="s">
        <v>137</v>
      </c>
      <c r="G42" s="335" t="s">
        <v>138</v>
      </c>
      <c r="H42" s="535" t="s">
        <v>180</v>
      </c>
      <c r="I42" s="535"/>
      <c r="J42" s="535"/>
      <c r="K42" s="532"/>
      <c r="L42" s="307"/>
      <c r="M42" s="308"/>
    </row>
    <row r="43" spans="1:15" ht="23.25">
      <c r="A43" s="309"/>
      <c r="B43" s="406"/>
      <c r="C43" s="336"/>
      <c r="D43" s="336"/>
      <c r="E43" s="336"/>
      <c r="F43" s="336"/>
      <c r="G43" s="390"/>
      <c r="H43" s="531"/>
      <c r="I43" s="323" t="s">
        <v>56</v>
      </c>
      <c r="J43" s="324">
        <v>75</v>
      </c>
      <c r="K43" s="532" t="s">
        <v>51</v>
      </c>
      <c r="L43" s="307"/>
      <c r="M43" s="308"/>
    </row>
    <row r="44" spans="1:15" ht="23.25">
      <c r="A44" s="325"/>
      <c r="B44" s="359"/>
      <c r="C44" s="310"/>
      <c r="D44" s="310"/>
      <c r="E44" s="310"/>
      <c r="F44" s="310"/>
      <c r="G44" s="310"/>
      <c r="H44" s="527"/>
      <c r="I44" s="528"/>
      <c r="J44" s="528"/>
      <c r="K44" s="529"/>
      <c r="L44" s="326"/>
      <c r="M44" s="299"/>
    </row>
    <row r="45" spans="1:15" ht="23.25">
      <c r="A45" s="302" t="s">
        <v>185</v>
      </c>
      <c r="B45" s="403">
        <v>12</v>
      </c>
      <c r="C45" s="332">
        <v>0.78</v>
      </c>
      <c r="D45" s="332">
        <v>0.81</v>
      </c>
      <c r="E45" s="332">
        <v>0.84</v>
      </c>
      <c r="F45" s="332">
        <v>0.87</v>
      </c>
      <c r="G45" s="332">
        <v>0.9</v>
      </c>
      <c r="H45" s="536" t="s">
        <v>186</v>
      </c>
      <c r="I45" s="533"/>
      <c r="J45" s="533"/>
      <c r="K45" s="534"/>
      <c r="L45" s="304">
        <f>3+O48</f>
        <v>3.9559641906605378</v>
      </c>
      <c r="M45" s="305">
        <f>IF(L45=0,"-",ROUND(L45*B45/B$83,4))</f>
        <v>0.74170000000000003</v>
      </c>
      <c r="N45" s="429" t="s">
        <v>297</v>
      </c>
    </row>
    <row r="46" spans="1:15" ht="23.25">
      <c r="A46" s="309" t="s">
        <v>85</v>
      </c>
      <c r="B46" s="352"/>
      <c r="C46" s="320"/>
      <c r="D46" s="320"/>
      <c r="E46" s="320"/>
      <c r="F46" s="320"/>
      <c r="G46" s="320"/>
      <c r="H46" s="531" t="s">
        <v>196</v>
      </c>
      <c r="I46" s="535"/>
      <c r="J46" s="535"/>
      <c r="K46" s="532"/>
      <c r="L46" s="307"/>
      <c r="M46" s="308"/>
      <c r="N46" s="487" t="s">
        <v>237</v>
      </c>
    </row>
    <row r="47" spans="1:15" ht="23.25">
      <c r="A47" s="309"/>
      <c r="B47" s="352"/>
      <c r="C47" s="320"/>
      <c r="D47" s="320"/>
      <c r="E47" s="320"/>
      <c r="F47" s="320"/>
      <c r="G47" s="320"/>
      <c r="H47" s="327"/>
      <c r="I47" s="327" t="s">
        <v>87</v>
      </c>
      <c r="J47" s="433">
        <v>165320000</v>
      </c>
      <c r="K47" s="532" t="s">
        <v>187</v>
      </c>
      <c r="L47" s="307"/>
      <c r="M47" s="308"/>
      <c r="N47" s="292">
        <v>3</v>
      </c>
      <c r="O47" s="435">
        <v>1</v>
      </c>
    </row>
    <row r="48" spans="1:15" ht="23.25">
      <c r="A48" s="309"/>
      <c r="B48" s="352"/>
      <c r="C48" s="320"/>
      <c r="D48" s="320"/>
      <c r="E48" s="320"/>
      <c r="F48" s="320"/>
      <c r="G48" s="320"/>
      <c r="H48" s="327"/>
      <c r="I48" s="323" t="s">
        <v>188</v>
      </c>
      <c r="J48" s="434">
        <v>143610000</v>
      </c>
      <c r="K48" s="532" t="s">
        <v>187</v>
      </c>
      <c r="L48" s="307"/>
      <c r="M48" s="308"/>
      <c r="N48" s="580">
        <f>J49-84</f>
        <v>2.8678925719816135</v>
      </c>
      <c r="O48" s="435">
        <f>O47*N48/N47</f>
        <v>0.95596419066053784</v>
      </c>
    </row>
    <row r="49" spans="1:15" ht="23.25">
      <c r="A49" s="309"/>
      <c r="B49" s="352"/>
      <c r="C49" s="320"/>
      <c r="D49" s="320"/>
      <c r="E49" s="320"/>
      <c r="F49" s="320"/>
      <c r="G49" s="320"/>
      <c r="H49" s="327"/>
      <c r="I49" s="323" t="s">
        <v>189</v>
      </c>
      <c r="J49" s="430">
        <f>J48*100/J47</f>
        <v>86.867892571981614</v>
      </c>
      <c r="K49" s="532" t="s">
        <v>51</v>
      </c>
      <c r="L49" s="307"/>
      <c r="M49" s="308"/>
    </row>
    <row r="50" spans="1:15" ht="23.25">
      <c r="A50" s="325"/>
      <c r="B50" s="359"/>
      <c r="C50" s="310"/>
      <c r="D50" s="310"/>
      <c r="E50" s="310"/>
      <c r="F50" s="310"/>
      <c r="G50" s="310"/>
      <c r="H50" s="337"/>
      <c r="I50" s="427"/>
      <c r="J50" s="338"/>
      <c r="K50" s="428"/>
      <c r="L50" s="326"/>
      <c r="M50" s="299"/>
    </row>
    <row r="51" spans="1:15" ht="23.25">
      <c r="A51" s="339" t="s">
        <v>190</v>
      </c>
      <c r="B51" s="407">
        <v>4</v>
      </c>
      <c r="C51" s="340">
        <v>0.65</v>
      </c>
      <c r="D51" s="340">
        <v>0.7</v>
      </c>
      <c r="E51" s="340">
        <v>0.75</v>
      </c>
      <c r="F51" s="340">
        <v>0.8</v>
      </c>
      <c r="G51" s="340">
        <v>0.85</v>
      </c>
      <c r="H51" s="536" t="s">
        <v>156</v>
      </c>
      <c r="I51" s="533"/>
      <c r="J51" s="533"/>
      <c r="K51" s="534"/>
      <c r="L51" s="304">
        <v>1</v>
      </c>
      <c r="M51" s="305">
        <f>IF(L51=0,"-",ROUND(L51*B51/B$83,4))</f>
        <v>6.25E-2</v>
      </c>
      <c r="N51" s="429" t="s">
        <v>340</v>
      </c>
    </row>
    <row r="52" spans="1:15" ht="23.25">
      <c r="A52" s="309" t="s">
        <v>145</v>
      </c>
      <c r="B52" s="352"/>
      <c r="C52" s="320"/>
      <c r="D52" s="320"/>
      <c r="E52" s="320"/>
      <c r="F52" s="320"/>
      <c r="G52" s="320"/>
      <c r="H52" s="531" t="s">
        <v>104</v>
      </c>
      <c r="I52" s="535"/>
      <c r="J52" s="535"/>
      <c r="K52" s="532"/>
      <c r="L52" s="307"/>
      <c r="M52" s="308"/>
      <c r="N52" s="487" t="s">
        <v>237</v>
      </c>
    </row>
    <row r="53" spans="1:15" ht="23.25">
      <c r="A53" s="389" t="s">
        <v>155</v>
      </c>
      <c r="B53" s="352"/>
      <c r="C53" s="320"/>
      <c r="D53" s="320"/>
      <c r="E53" s="320"/>
      <c r="F53" s="320"/>
      <c r="G53" s="320"/>
      <c r="H53" s="531" t="s">
        <v>105</v>
      </c>
      <c r="I53" s="535"/>
      <c r="J53" s="535"/>
      <c r="K53" s="532"/>
      <c r="L53" s="307"/>
      <c r="M53" s="308"/>
    </row>
    <row r="54" spans="1:15" ht="23.25">
      <c r="A54" s="309"/>
      <c r="B54" s="352"/>
      <c r="C54" s="320"/>
      <c r="D54" s="320"/>
      <c r="E54" s="320"/>
      <c r="F54" s="320"/>
      <c r="G54" s="320"/>
      <c r="H54" s="341"/>
      <c r="I54" s="342" t="s">
        <v>113</v>
      </c>
      <c r="J54" s="343" t="s">
        <v>11</v>
      </c>
      <c r="K54" s="532" t="s">
        <v>51</v>
      </c>
      <c r="L54" s="307"/>
      <c r="M54" s="308"/>
    </row>
    <row r="55" spans="1:15" ht="23.25">
      <c r="A55" s="325"/>
      <c r="B55" s="359"/>
      <c r="C55" s="310"/>
      <c r="D55" s="310"/>
      <c r="E55" s="310"/>
      <c r="F55" s="310"/>
      <c r="G55" s="416"/>
      <c r="H55" s="705" t="s">
        <v>211</v>
      </c>
      <c r="I55" s="706"/>
      <c r="J55" s="706"/>
      <c r="K55" s="707"/>
      <c r="L55" s="326"/>
      <c r="M55" s="299"/>
    </row>
    <row r="56" spans="1:15" ht="23.25">
      <c r="A56" s="302" t="s">
        <v>106</v>
      </c>
      <c r="B56" s="407">
        <v>4</v>
      </c>
      <c r="C56" s="346" t="s">
        <v>29</v>
      </c>
      <c r="D56" s="346" t="s">
        <v>30</v>
      </c>
      <c r="E56" s="346" t="s">
        <v>31</v>
      </c>
      <c r="F56" s="346" t="s">
        <v>32</v>
      </c>
      <c r="G56" s="346" t="s">
        <v>33</v>
      </c>
      <c r="H56" s="536" t="s">
        <v>108</v>
      </c>
      <c r="I56" s="533"/>
      <c r="J56" s="533"/>
      <c r="K56" s="534"/>
      <c r="L56" s="304">
        <v>2</v>
      </c>
      <c r="M56" s="305">
        <f>IF(L56=0,"-",ROUND(L56*B56/B$83,4))</f>
        <v>0.125</v>
      </c>
      <c r="N56" s="429" t="s">
        <v>332</v>
      </c>
    </row>
    <row r="57" spans="1:15" ht="23.25">
      <c r="A57" s="309" t="s">
        <v>107</v>
      </c>
      <c r="B57" s="352"/>
      <c r="C57" s="348">
        <v>1.5</v>
      </c>
      <c r="D57" s="348">
        <v>2</v>
      </c>
      <c r="E57" s="348">
        <v>2.5</v>
      </c>
      <c r="F57" s="348">
        <v>3</v>
      </c>
      <c r="G57" s="348">
        <v>5</v>
      </c>
      <c r="H57" s="531" t="s">
        <v>146</v>
      </c>
      <c r="I57" s="535"/>
      <c r="J57" s="535"/>
      <c r="K57" s="532"/>
      <c r="L57" s="307"/>
      <c r="M57" s="308"/>
      <c r="N57" s="487" t="s">
        <v>237</v>
      </c>
    </row>
    <row r="58" spans="1:15" ht="23.25">
      <c r="A58" s="309"/>
      <c r="B58" s="352"/>
      <c r="C58" s="344"/>
      <c r="D58" s="344"/>
      <c r="E58" s="344"/>
      <c r="F58" s="344"/>
      <c r="G58" s="344"/>
      <c r="H58" s="531" t="s">
        <v>110</v>
      </c>
      <c r="I58" s="535"/>
      <c r="J58" s="535"/>
      <c r="K58" s="532"/>
      <c r="L58" s="307"/>
      <c r="M58" s="308"/>
    </row>
    <row r="59" spans="1:15" ht="23.25">
      <c r="A59" s="309"/>
      <c r="B59" s="352"/>
      <c r="C59" s="344"/>
      <c r="D59" s="344"/>
      <c r="E59" s="344"/>
      <c r="F59" s="344"/>
      <c r="G59" s="344"/>
      <c r="H59" s="531" t="s">
        <v>191</v>
      </c>
      <c r="I59" s="535"/>
      <c r="J59" s="535"/>
      <c r="K59" s="532"/>
      <c r="L59" s="307"/>
      <c r="M59" s="308"/>
    </row>
    <row r="60" spans="1:15" ht="23.25">
      <c r="A60" s="309"/>
      <c r="B60" s="352"/>
      <c r="C60" s="344"/>
      <c r="D60" s="344"/>
      <c r="E60" s="344"/>
      <c r="F60" s="344"/>
      <c r="G60" s="344"/>
      <c r="H60" s="531"/>
      <c r="I60" s="323" t="s">
        <v>112</v>
      </c>
      <c r="J60" s="324">
        <v>2</v>
      </c>
      <c r="K60" s="382"/>
      <c r="L60" s="307"/>
      <c r="M60" s="308"/>
    </row>
    <row r="61" spans="1:15" ht="23.25">
      <c r="A61" s="325"/>
      <c r="B61" s="359"/>
      <c r="C61" s="310"/>
      <c r="D61" s="310"/>
      <c r="E61" s="310"/>
      <c r="F61" s="310"/>
      <c r="G61" s="310"/>
      <c r="H61" s="705"/>
      <c r="I61" s="706"/>
      <c r="J61" s="706"/>
      <c r="K61" s="707"/>
      <c r="L61" s="326"/>
      <c r="M61" s="299"/>
    </row>
    <row r="62" spans="1:15" ht="23.25">
      <c r="A62" s="350" t="s">
        <v>132</v>
      </c>
      <c r="B62" s="407">
        <v>4</v>
      </c>
      <c r="C62" s="340">
        <v>0.1</v>
      </c>
      <c r="D62" s="340">
        <v>0.3</v>
      </c>
      <c r="E62" s="340">
        <v>0.5</v>
      </c>
      <c r="F62" s="340">
        <v>0.7</v>
      </c>
      <c r="G62" s="340">
        <v>1</v>
      </c>
      <c r="H62" s="536" t="s">
        <v>123</v>
      </c>
      <c r="I62" s="533"/>
      <c r="J62" s="533"/>
      <c r="K62" s="534"/>
      <c r="L62" s="304">
        <f>4+O65</f>
        <v>4.9666666666666668</v>
      </c>
      <c r="M62" s="305">
        <f>IF(L62=0,"-",ROUND(L62*B62/B$83,4))</f>
        <v>0.31040000000000001</v>
      </c>
      <c r="N62" s="429" t="s">
        <v>202</v>
      </c>
    </row>
    <row r="63" spans="1:15" ht="23.25">
      <c r="A63" s="351" t="s">
        <v>192</v>
      </c>
      <c r="B63" s="352"/>
      <c r="C63" s="320"/>
      <c r="D63" s="320"/>
      <c r="E63" s="320"/>
      <c r="F63" s="320"/>
      <c r="G63" s="311"/>
      <c r="H63" s="531" t="s">
        <v>124</v>
      </c>
      <c r="I63" s="322"/>
      <c r="J63" s="353"/>
      <c r="K63" s="354"/>
      <c r="L63" s="355"/>
      <c r="M63" s="308"/>
      <c r="N63" s="487" t="s">
        <v>237</v>
      </c>
    </row>
    <row r="64" spans="1:15" ht="23.25">
      <c r="A64" s="351"/>
      <c r="B64" s="352"/>
      <c r="C64" s="320"/>
      <c r="D64" s="320"/>
      <c r="E64" s="320"/>
      <c r="F64" s="320"/>
      <c r="G64" s="320"/>
      <c r="H64" s="535" t="s">
        <v>125</v>
      </c>
      <c r="I64" s="322"/>
      <c r="J64" s="353"/>
      <c r="K64" s="354"/>
      <c r="L64" s="355"/>
      <c r="M64" s="308"/>
      <c r="N64" s="292">
        <v>30</v>
      </c>
      <c r="O64" s="435">
        <v>1</v>
      </c>
    </row>
    <row r="65" spans="1:15" ht="23.25">
      <c r="A65" s="351"/>
      <c r="B65" s="352"/>
      <c r="C65" s="320"/>
      <c r="D65" s="320"/>
      <c r="E65" s="320"/>
      <c r="F65" s="320"/>
      <c r="G65" s="320"/>
      <c r="H65" s="531" t="s">
        <v>126</v>
      </c>
      <c r="I65" s="322"/>
      <c r="J65" s="353"/>
      <c r="K65" s="354"/>
      <c r="L65" s="355"/>
      <c r="M65" s="308"/>
      <c r="N65" s="292">
        <v>29</v>
      </c>
      <c r="O65" s="435">
        <f>N65*O64/N64</f>
        <v>0.96666666666666667</v>
      </c>
    </row>
    <row r="66" spans="1:15" ht="23.25">
      <c r="A66" s="351"/>
      <c r="B66" s="352"/>
      <c r="C66" s="320"/>
      <c r="D66" s="320"/>
      <c r="E66" s="320"/>
      <c r="F66" s="320"/>
      <c r="G66" s="320"/>
      <c r="H66" s="531" t="s">
        <v>127</v>
      </c>
      <c r="I66" s="322"/>
      <c r="J66" s="353"/>
      <c r="K66" s="354"/>
      <c r="L66" s="355"/>
      <c r="M66" s="308"/>
    </row>
    <row r="67" spans="1:15" ht="23.25">
      <c r="A67" s="351"/>
      <c r="B67" s="352"/>
      <c r="C67" s="320"/>
      <c r="D67" s="320"/>
      <c r="E67" s="320"/>
      <c r="F67" s="320"/>
      <c r="G67" s="320"/>
      <c r="H67" s="531"/>
      <c r="I67" s="323" t="s">
        <v>114</v>
      </c>
      <c r="J67" s="408">
        <v>99</v>
      </c>
      <c r="K67" s="382" t="s">
        <v>51</v>
      </c>
      <c r="L67" s="355"/>
      <c r="M67" s="308"/>
    </row>
    <row r="68" spans="1:15" ht="23.25">
      <c r="A68" s="358"/>
      <c r="B68" s="359"/>
      <c r="C68" s="310"/>
      <c r="D68" s="310"/>
      <c r="E68" s="310"/>
      <c r="F68" s="310"/>
      <c r="G68" s="310"/>
      <c r="H68" s="330"/>
      <c r="I68" s="427"/>
      <c r="J68" s="427"/>
      <c r="K68" s="428"/>
      <c r="L68" s="360"/>
      <c r="M68" s="299"/>
    </row>
    <row r="69" spans="1:15" ht="23.25">
      <c r="A69" s="302" t="s">
        <v>115</v>
      </c>
      <c r="B69" s="407">
        <v>4</v>
      </c>
      <c r="C69" s="361">
        <v>0.8</v>
      </c>
      <c r="D69" s="361">
        <v>0.85</v>
      </c>
      <c r="E69" s="361">
        <v>0.9</v>
      </c>
      <c r="F69" s="361">
        <v>0.95</v>
      </c>
      <c r="G69" s="361">
        <v>1</v>
      </c>
      <c r="H69" s="536" t="s">
        <v>157</v>
      </c>
      <c r="I69" s="533"/>
      <c r="J69" s="533"/>
      <c r="K69" s="534"/>
      <c r="L69" s="304">
        <v>5</v>
      </c>
      <c r="M69" s="305">
        <f>IF(L69=0,"-",ROUND(L69*B69/B$83,4))</f>
        <v>0.3125</v>
      </c>
      <c r="N69" s="429" t="s">
        <v>352</v>
      </c>
    </row>
    <row r="70" spans="1:15" ht="23.25">
      <c r="A70" s="309" t="s">
        <v>116</v>
      </c>
      <c r="B70" s="352"/>
      <c r="C70" s="348"/>
      <c r="D70" s="348"/>
      <c r="E70" s="348"/>
      <c r="F70" s="348"/>
      <c r="G70" s="348"/>
      <c r="H70" s="531" t="s">
        <v>158</v>
      </c>
      <c r="I70" s="535"/>
      <c r="J70" s="535"/>
      <c r="K70" s="532"/>
      <c r="L70" s="362"/>
      <c r="M70" s="308"/>
      <c r="N70" s="487" t="s">
        <v>237</v>
      </c>
    </row>
    <row r="71" spans="1:15" ht="23.25">
      <c r="A71" s="309" t="s">
        <v>193</v>
      </c>
      <c r="B71" s="352"/>
      <c r="C71" s="320"/>
      <c r="D71" s="320"/>
      <c r="E71" s="320"/>
      <c r="F71" s="320"/>
      <c r="G71" s="320"/>
      <c r="H71" s="531" t="s">
        <v>197</v>
      </c>
      <c r="I71" s="535"/>
      <c r="J71" s="535"/>
      <c r="K71" s="532"/>
      <c r="L71" s="362"/>
      <c r="M71" s="308"/>
    </row>
    <row r="72" spans="1:15" ht="23.25">
      <c r="A72" s="309"/>
      <c r="B72" s="352"/>
      <c r="C72" s="320"/>
      <c r="D72" s="320"/>
      <c r="E72" s="320"/>
      <c r="F72" s="320"/>
      <c r="G72" s="320"/>
      <c r="H72" s="531" t="s">
        <v>120</v>
      </c>
      <c r="I72" s="535"/>
      <c r="J72" s="535"/>
      <c r="K72" s="532"/>
      <c r="L72" s="362"/>
      <c r="M72" s="308"/>
    </row>
    <row r="73" spans="1:15" ht="23.25">
      <c r="A73" s="309"/>
      <c r="B73" s="352"/>
      <c r="C73" s="320"/>
      <c r="D73" s="320"/>
      <c r="E73" s="320"/>
      <c r="F73" s="320"/>
      <c r="G73" s="320"/>
      <c r="H73" s="531" t="s">
        <v>194</v>
      </c>
      <c r="I73" s="535"/>
      <c r="J73" s="535"/>
      <c r="K73" s="532"/>
      <c r="L73" s="362"/>
      <c r="M73" s="308"/>
    </row>
    <row r="74" spans="1:15" ht="23.25">
      <c r="A74" s="309"/>
      <c r="B74" s="352"/>
      <c r="C74" s="320"/>
      <c r="D74" s="320"/>
      <c r="E74" s="320"/>
      <c r="F74" s="320"/>
      <c r="G74" s="344"/>
      <c r="H74" s="531" t="s">
        <v>195</v>
      </c>
      <c r="I74" s="345"/>
      <c r="J74" s="408">
        <v>100</v>
      </c>
      <c r="K74" s="414" t="s">
        <v>51</v>
      </c>
      <c r="L74" s="413"/>
      <c r="M74" s="308"/>
    </row>
    <row r="75" spans="1:15" ht="23.25">
      <c r="A75" s="358"/>
      <c r="B75" s="415"/>
      <c r="C75" s="412"/>
      <c r="D75" s="412"/>
      <c r="E75" s="412"/>
      <c r="F75" s="412"/>
      <c r="G75" s="329"/>
      <c r="H75" s="538"/>
      <c r="I75" s="418"/>
      <c r="J75" s="419"/>
      <c r="K75" s="417"/>
      <c r="L75" s="420"/>
      <c r="M75" s="308"/>
    </row>
    <row r="76" spans="1:15" ht="23.25">
      <c r="A76" s="351" t="s">
        <v>316</v>
      </c>
      <c r="B76" s="543">
        <v>4</v>
      </c>
      <c r="C76" s="544">
        <v>0.4</v>
      </c>
      <c r="D76" s="544">
        <v>0.45</v>
      </c>
      <c r="E76" s="544">
        <v>0.5</v>
      </c>
      <c r="F76" s="544">
        <v>0.55000000000000004</v>
      </c>
      <c r="G76" s="544">
        <v>0.6</v>
      </c>
      <c r="H76" s="531" t="s">
        <v>317</v>
      </c>
      <c r="I76" s="345"/>
      <c r="J76" s="545"/>
      <c r="K76" s="546"/>
      <c r="L76" s="413">
        <v>3</v>
      </c>
      <c r="M76" s="305">
        <f>IF(L76=0,"-",ROUND(L76*B76/B$83,4))</f>
        <v>0.1875</v>
      </c>
      <c r="N76" s="429" t="s">
        <v>332</v>
      </c>
    </row>
    <row r="77" spans="1:15" ht="23.25">
      <c r="A77" s="351" t="s">
        <v>318</v>
      </c>
      <c r="B77" s="406"/>
      <c r="C77" s="311"/>
      <c r="D77" s="311"/>
      <c r="E77" s="311"/>
      <c r="F77" s="311"/>
      <c r="G77" s="333"/>
      <c r="H77" s="531" t="s">
        <v>319</v>
      </c>
      <c r="I77" s="345"/>
      <c r="J77" s="545"/>
      <c r="K77" s="546"/>
      <c r="L77" s="413"/>
      <c r="M77" s="308"/>
      <c r="N77" s="487" t="s">
        <v>237</v>
      </c>
    </row>
    <row r="78" spans="1:15" ht="23.25">
      <c r="A78" s="351"/>
      <c r="B78" s="406"/>
      <c r="C78" s="311"/>
      <c r="D78" s="311"/>
      <c r="E78" s="311"/>
      <c r="F78" s="311"/>
      <c r="G78" s="333"/>
      <c r="H78" s="531"/>
      <c r="I78" s="345"/>
      <c r="J78" s="545"/>
      <c r="K78" s="546"/>
      <c r="L78" s="413"/>
      <c r="M78" s="308"/>
    </row>
    <row r="79" spans="1:15" ht="23.25">
      <c r="A79" s="351"/>
      <c r="B79" s="406"/>
      <c r="C79" s="311"/>
      <c r="D79" s="311"/>
      <c r="E79" s="311"/>
      <c r="F79" s="311"/>
      <c r="G79" s="333"/>
      <c r="H79" s="531"/>
      <c r="I79" s="345" t="s">
        <v>174</v>
      </c>
      <c r="J79" s="547">
        <v>50</v>
      </c>
      <c r="K79" s="414" t="s">
        <v>51</v>
      </c>
      <c r="L79" s="413"/>
      <c r="M79" s="308"/>
    </row>
    <row r="80" spans="1:15" ht="23.25">
      <c r="A80" s="351"/>
      <c r="B80" s="406"/>
      <c r="C80" s="311"/>
      <c r="D80" s="311"/>
      <c r="E80" s="311"/>
      <c r="F80" s="311"/>
      <c r="G80" s="333"/>
      <c r="H80" s="531"/>
      <c r="I80" s="345"/>
      <c r="J80" s="545"/>
      <c r="K80" s="546"/>
      <c r="L80" s="413"/>
      <c r="M80" s="308"/>
    </row>
    <row r="81" spans="1:13" ht="23.25">
      <c r="A81" s="351"/>
      <c r="B81" s="406"/>
      <c r="C81" s="311"/>
      <c r="D81" s="311"/>
      <c r="E81" s="311"/>
      <c r="F81" s="311"/>
      <c r="G81" s="333"/>
      <c r="H81" s="531"/>
      <c r="I81" s="345"/>
      <c r="J81" s="545"/>
      <c r="K81" s="546"/>
      <c r="L81" s="413"/>
      <c r="M81" s="308"/>
    </row>
    <row r="82" spans="1:13" ht="23.25">
      <c r="A82" s="358"/>
      <c r="B82" s="415"/>
      <c r="C82" s="412"/>
      <c r="D82" s="412"/>
      <c r="E82" s="412"/>
      <c r="F82" s="412"/>
      <c r="G82" s="416"/>
      <c r="H82" s="538"/>
      <c r="I82" s="345"/>
      <c r="J82" s="545"/>
      <c r="K82" s="417"/>
      <c r="L82" s="413"/>
      <c r="M82" s="308"/>
    </row>
    <row r="83" spans="1:13" ht="26.25">
      <c r="A83" s="363"/>
      <c r="B83" s="409">
        <f>ROUND(SUM(B6:B82),1)</f>
        <v>64</v>
      </c>
      <c r="C83" s="364"/>
      <c r="D83" s="364"/>
      <c r="E83" s="364"/>
      <c r="F83" s="364"/>
      <c r="G83" s="365"/>
      <c r="H83" s="364"/>
      <c r="I83" s="364"/>
      <c r="J83" s="364"/>
      <c r="K83" s="364"/>
      <c r="L83" s="366" t="s">
        <v>139</v>
      </c>
      <c r="M83" s="410">
        <f>(SUM(M6:M82))</f>
        <v>2.9079999999999999</v>
      </c>
    </row>
  </sheetData>
  <mergeCells count="17"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  <mergeCell ref="H14:K14"/>
    <mergeCell ref="H15:K15"/>
    <mergeCell ref="H20:K20"/>
    <mergeCell ref="H55:K55"/>
    <mergeCell ref="H61:K61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31" max="12" man="1"/>
    <brk id="55" max="12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B82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73.5703125" style="292" bestFit="1" customWidth="1"/>
    <col min="16" max="16" width="12.5703125" style="292" bestFit="1" customWidth="1"/>
    <col min="17" max="17" width="15.28515625" style="292" bestFit="1" customWidth="1"/>
    <col min="18" max="18" width="11.7109375" style="292" bestFit="1" customWidth="1"/>
    <col min="19" max="19" width="9.140625" style="292"/>
    <col min="20" max="21" width="9.85546875" style="292" bestFit="1" customWidth="1"/>
    <col min="22" max="16384" width="9.140625" style="292"/>
  </cols>
  <sheetData>
    <row r="1" spans="1:28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28" ht="24" customHeight="1">
      <c r="A2" s="710" t="s">
        <v>394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28" ht="24" customHeight="1">
      <c r="A3" s="293" t="s">
        <v>321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</row>
    <row r="5" spans="1:28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34"/>
      <c r="I5" s="735"/>
      <c r="J5" s="735"/>
      <c r="K5" s="736"/>
      <c r="L5" s="719"/>
      <c r="M5" s="301" t="s">
        <v>9</v>
      </c>
    </row>
    <row r="6" spans="1:28" ht="24" customHeight="1">
      <c r="A6" s="302" t="s">
        <v>165</v>
      </c>
      <c r="B6" s="391">
        <v>12</v>
      </c>
      <c r="C6" s="313">
        <v>3226</v>
      </c>
      <c r="D6" s="313">
        <v>3318</v>
      </c>
      <c r="E6" s="313">
        <v>3412</v>
      </c>
      <c r="F6" s="313">
        <v>3505</v>
      </c>
      <c r="G6" s="313">
        <v>3598</v>
      </c>
      <c r="H6" s="727" t="s">
        <v>14</v>
      </c>
      <c r="I6" s="728"/>
      <c r="J6" s="730" t="s">
        <v>15</v>
      </c>
      <c r="K6" s="730"/>
      <c r="L6" s="304">
        <v>5</v>
      </c>
      <c r="M6" s="305">
        <f>IF(L6=0,"-",ROUND(L6*B6/B$82,4))</f>
        <v>0.83330000000000004</v>
      </c>
      <c r="N6" s="429" t="s">
        <v>332</v>
      </c>
      <c r="Q6" s="580"/>
      <c r="S6" s="356"/>
      <c r="T6" s="356"/>
      <c r="U6" s="356"/>
      <c r="V6" s="356"/>
      <c r="W6" s="356"/>
      <c r="X6" s="356"/>
      <c r="Y6" s="356"/>
      <c r="Z6" s="356"/>
      <c r="AA6" s="356"/>
      <c r="AB6" s="356"/>
    </row>
    <row r="7" spans="1:28" ht="24" customHeight="1">
      <c r="A7" s="309" t="s">
        <v>166</v>
      </c>
      <c r="B7" s="399"/>
      <c r="C7" s="316" t="s">
        <v>38</v>
      </c>
      <c r="D7" s="316" t="s">
        <v>38</v>
      </c>
      <c r="E7" s="316" t="s">
        <v>39</v>
      </c>
      <c r="F7" s="316" t="s">
        <v>38</v>
      </c>
      <c r="G7" s="316" t="s">
        <v>38</v>
      </c>
      <c r="H7" s="729"/>
      <c r="I7" s="708"/>
      <c r="J7" s="530" t="s">
        <v>17</v>
      </c>
      <c r="K7" s="367" t="s">
        <v>18</v>
      </c>
      <c r="L7" s="307"/>
      <c r="M7" s="308"/>
      <c r="N7" s="429" t="s">
        <v>237</v>
      </c>
      <c r="O7" s="435"/>
      <c r="Q7" s="580"/>
      <c r="R7" s="580"/>
      <c r="S7" s="356"/>
      <c r="T7" s="356"/>
      <c r="U7" s="356"/>
      <c r="V7" s="356"/>
      <c r="W7" s="356"/>
      <c r="X7" s="356"/>
      <c r="Y7" s="356"/>
      <c r="Z7" s="356"/>
      <c r="AA7" s="356"/>
      <c r="AB7" s="356"/>
    </row>
    <row r="8" spans="1:28" ht="24" customHeight="1">
      <c r="A8" s="309"/>
      <c r="B8" s="399"/>
      <c r="C8" s="320"/>
      <c r="D8" s="320"/>
      <c r="E8" s="320"/>
      <c r="F8" s="320"/>
      <c r="G8" s="320"/>
      <c r="H8" s="536" t="s">
        <v>395</v>
      </c>
      <c r="I8" s="534"/>
      <c r="J8" s="398">
        <v>3800</v>
      </c>
      <c r="K8" s="617">
        <v>3800</v>
      </c>
      <c r="L8" s="307"/>
      <c r="M8" s="308"/>
      <c r="O8" s="435"/>
      <c r="Q8" s="580"/>
    </row>
    <row r="9" spans="1:28" ht="23.25">
      <c r="A9" s="309"/>
      <c r="B9" s="399"/>
      <c r="C9" s="320"/>
      <c r="D9" s="320"/>
      <c r="E9" s="320"/>
      <c r="F9" s="320"/>
      <c r="G9" s="320"/>
      <c r="H9" s="720" t="s">
        <v>396</v>
      </c>
      <c r="I9" s="721"/>
      <c r="J9" s="400"/>
      <c r="K9" s="368"/>
      <c r="L9" s="307"/>
      <c r="M9" s="308"/>
      <c r="O9" s="435"/>
      <c r="Q9" s="580"/>
    </row>
    <row r="10" spans="1:28" ht="24" thickBot="1">
      <c r="A10" s="309"/>
      <c r="B10" s="399"/>
      <c r="C10" s="320"/>
      <c r="D10" s="320"/>
      <c r="E10" s="320"/>
      <c r="F10" s="320"/>
      <c r="G10" s="320"/>
      <c r="H10" s="725" t="s">
        <v>20</v>
      </c>
      <c r="I10" s="725"/>
      <c r="J10" s="401">
        <f>SUM(J8:J9)</f>
        <v>3800</v>
      </c>
      <c r="K10" s="432">
        <v>3800</v>
      </c>
      <c r="L10" s="307"/>
      <c r="M10" s="308"/>
      <c r="O10" s="435"/>
      <c r="Q10" s="580"/>
    </row>
    <row r="11" spans="1:28" ht="24" thickTop="1">
      <c r="A11" s="302" t="s">
        <v>169</v>
      </c>
      <c r="B11" s="391">
        <v>4</v>
      </c>
      <c r="C11" s="303">
        <v>0.65</v>
      </c>
      <c r="D11" s="303">
        <v>0.7</v>
      </c>
      <c r="E11" s="303">
        <v>0.75</v>
      </c>
      <c r="F11" s="303">
        <v>0.8</v>
      </c>
      <c r="G11" s="303">
        <v>0.85</v>
      </c>
      <c r="H11" s="726" t="s">
        <v>141</v>
      </c>
      <c r="I11" s="722"/>
      <c r="J11" s="722"/>
      <c r="K11" s="723"/>
      <c r="L11" s="304">
        <v>1</v>
      </c>
      <c r="M11" s="305">
        <f>IF(L11=0,"-",ROUND(L11*B11/B$82,4))</f>
        <v>5.5599999999999997E-2</v>
      </c>
      <c r="N11" s="429" t="s">
        <v>367</v>
      </c>
      <c r="O11" s="435"/>
      <c r="Q11" s="580"/>
    </row>
    <row r="12" spans="1:28" ht="23.25">
      <c r="A12" s="309" t="s">
        <v>44</v>
      </c>
      <c r="B12" s="399"/>
      <c r="C12" s="320"/>
      <c r="D12" s="320"/>
      <c r="E12" s="320"/>
      <c r="F12" s="320"/>
      <c r="G12" s="320"/>
      <c r="H12" s="720" t="s">
        <v>142</v>
      </c>
      <c r="I12" s="724"/>
      <c r="J12" s="724"/>
      <c r="K12" s="721"/>
      <c r="L12" s="307"/>
      <c r="M12" s="308"/>
      <c r="N12" s="429" t="s">
        <v>237</v>
      </c>
    </row>
    <row r="13" spans="1:28" ht="23.25">
      <c r="A13" s="309"/>
      <c r="B13" s="399"/>
      <c r="C13" s="320"/>
      <c r="D13" s="320"/>
      <c r="E13" s="320"/>
      <c r="F13" s="320"/>
      <c r="G13" s="320"/>
      <c r="H13" s="720" t="s">
        <v>143</v>
      </c>
      <c r="I13" s="724"/>
      <c r="J13" s="724"/>
      <c r="K13" s="721"/>
      <c r="L13" s="307"/>
      <c r="M13" s="308"/>
    </row>
    <row r="14" spans="1:28" ht="23.25">
      <c r="A14" s="309"/>
      <c r="B14" s="399"/>
      <c r="C14" s="320"/>
      <c r="D14" s="320"/>
      <c r="E14" s="320"/>
      <c r="F14" s="320"/>
      <c r="G14" s="320"/>
      <c r="H14" s="720" t="s">
        <v>144</v>
      </c>
      <c r="I14" s="724"/>
      <c r="J14" s="724"/>
      <c r="K14" s="721"/>
      <c r="L14" s="307"/>
      <c r="M14" s="308"/>
    </row>
    <row r="15" spans="1:28" ht="23.25">
      <c r="A15" s="309"/>
      <c r="B15" s="399"/>
      <c r="C15" s="320"/>
      <c r="D15" s="320"/>
      <c r="E15" s="320"/>
      <c r="F15" s="320"/>
      <c r="G15" s="320"/>
      <c r="H15" s="720" t="s">
        <v>170</v>
      </c>
      <c r="I15" s="724"/>
      <c r="J15" s="724"/>
      <c r="K15" s="721"/>
      <c r="L15" s="307"/>
      <c r="M15" s="308"/>
    </row>
    <row r="16" spans="1:28" ht="23.25">
      <c r="A16" s="309"/>
      <c r="B16" s="399"/>
      <c r="C16" s="320"/>
      <c r="D16" s="320"/>
      <c r="E16" s="320"/>
      <c r="F16" s="320"/>
      <c r="G16" s="320"/>
      <c r="I16" s="323" t="s">
        <v>54</v>
      </c>
      <c r="J16" s="324" t="s">
        <v>11</v>
      </c>
      <c r="K16" s="532" t="s">
        <v>51</v>
      </c>
      <c r="L16" s="307"/>
      <c r="M16" s="308"/>
    </row>
    <row r="17" spans="1:23" ht="23.25">
      <c r="A17" s="325"/>
      <c r="B17" s="402"/>
      <c r="C17" s="310"/>
      <c r="D17" s="310"/>
      <c r="E17" s="310"/>
      <c r="F17" s="310"/>
      <c r="G17" s="310"/>
      <c r="H17" s="705" t="s">
        <v>212</v>
      </c>
      <c r="I17" s="706"/>
      <c r="J17" s="706"/>
      <c r="K17" s="707"/>
      <c r="L17" s="326"/>
      <c r="M17" s="299"/>
      <c r="Q17" s="530" t="s">
        <v>324</v>
      </c>
      <c r="R17" s="530" t="s">
        <v>240</v>
      </c>
    </row>
    <row r="18" spans="1:23" ht="23.25">
      <c r="A18" s="302" t="s">
        <v>53</v>
      </c>
      <c r="B18" s="403">
        <v>12</v>
      </c>
      <c r="C18" s="303">
        <v>0.6</v>
      </c>
      <c r="D18" s="303">
        <v>0.7</v>
      </c>
      <c r="E18" s="303">
        <v>0.8</v>
      </c>
      <c r="F18" s="303">
        <v>0.9</v>
      </c>
      <c r="G18" s="303">
        <v>1</v>
      </c>
      <c r="H18" s="722" t="s">
        <v>171</v>
      </c>
      <c r="I18" s="722"/>
      <c r="J18" s="722"/>
      <c r="K18" s="723"/>
      <c r="L18" s="304">
        <f>2+O22</f>
        <v>2.8222031348991381</v>
      </c>
      <c r="M18" s="305">
        <f>IF(L18=0,"-",ROUND(L18*B18/B$82,4))</f>
        <v>0.47039999999999998</v>
      </c>
      <c r="N18" s="429" t="s">
        <v>199</v>
      </c>
      <c r="O18" s="292" t="s">
        <v>397</v>
      </c>
      <c r="Q18" s="457">
        <v>85676200</v>
      </c>
      <c r="R18" s="577">
        <v>75.872</v>
      </c>
    </row>
    <row r="19" spans="1:23" ht="23.25">
      <c r="A19" s="309" t="s">
        <v>21</v>
      </c>
      <c r="B19" s="352"/>
      <c r="C19" s="320"/>
      <c r="D19" s="320"/>
      <c r="E19" s="320"/>
      <c r="F19" s="320"/>
      <c r="G19" s="320"/>
      <c r="H19" s="720" t="s">
        <v>83</v>
      </c>
      <c r="I19" s="724"/>
      <c r="J19" s="724"/>
      <c r="K19" s="721"/>
      <c r="L19" s="307"/>
      <c r="M19" s="308"/>
      <c r="N19" s="429" t="s">
        <v>237</v>
      </c>
      <c r="O19" s="292" t="s">
        <v>398</v>
      </c>
      <c r="Q19" s="457">
        <v>14660908</v>
      </c>
      <c r="R19" s="577">
        <v>100</v>
      </c>
    </row>
    <row r="20" spans="1:23" ht="23.25">
      <c r="A20" s="309"/>
      <c r="B20" s="352"/>
      <c r="C20" s="320"/>
      <c r="D20" s="320"/>
      <c r="E20" s="320"/>
      <c r="F20" s="320"/>
      <c r="G20" s="320"/>
      <c r="H20" s="720" t="s">
        <v>172</v>
      </c>
      <c r="I20" s="724"/>
      <c r="J20" s="724"/>
      <c r="K20" s="721"/>
      <c r="L20" s="307"/>
      <c r="M20" s="308"/>
      <c r="O20" s="292" t="s">
        <v>399</v>
      </c>
      <c r="Q20" s="457">
        <v>6825000</v>
      </c>
      <c r="R20" s="577">
        <v>60.941000000000003</v>
      </c>
    </row>
    <row r="21" spans="1:23" ht="23.25">
      <c r="A21" s="309"/>
      <c r="B21" s="352"/>
      <c r="C21" s="320"/>
      <c r="D21" s="320"/>
      <c r="E21" s="320"/>
      <c r="F21" s="320"/>
      <c r="G21" s="320"/>
      <c r="H21" s="380" t="s">
        <v>173</v>
      </c>
      <c r="I21" s="323"/>
      <c r="J21" s="328"/>
      <c r="K21" s="532"/>
      <c r="L21" s="307"/>
      <c r="M21" s="308"/>
      <c r="N21" s="292">
        <v>10</v>
      </c>
      <c r="O21" s="435">
        <v>1</v>
      </c>
      <c r="P21" s="292" t="s">
        <v>349</v>
      </c>
      <c r="Q21" s="580">
        <f>SUM(Q18:Q20)</f>
        <v>107162108</v>
      </c>
      <c r="R21" s="580"/>
    </row>
    <row r="22" spans="1:23" ht="23.25">
      <c r="A22" s="309"/>
      <c r="B22" s="352"/>
      <c r="C22" s="320"/>
      <c r="D22" s="320"/>
      <c r="E22" s="320"/>
      <c r="F22" s="320"/>
      <c r="G22" s="320"/>
      <c r="H22" s="380"/>
      <c r="I22" s="323"/>
      <c r="J22" s="328"/>
      <c r="K22" s="532"/>
      <c r="L22" s="307"/>
      <c r="M22" s="308"/>
      <c r="N22" s="562">
        <f>J23-70</f>
        <v>8.2220313489913792</v>
      </c>
      <c r="O22" s="435">
        <f>O21*N22/N21</f>
        <v>0.82220313489913788</v>
      </c>
      <c r="Q22" s="485">
        <f>((Q18*R18)+(Q19*R19)+(Q20*R20))/Q21</f>
        <v>78.222031348991379</v>
      </c>
      <c r="R22" s="292" t="s">
        <v>51</v>
      </c>
    </row>
    <row r="23" spans="1:23" ht="23.25">
      <c r="A23" s="309"/>
      <c r="B23" s="352"/>
      <c r="C23" s="320"/>
      <c r="D23" s="320"/>
      <c r="E23" s="320"/>
      <c r="F23" s="320"/>
      <c r="G23" s="320"/>
      <c r="H23" s="380"/>
      <c r="I23" s="323" t="s">
        <v>174</v>
      </c>
      <c r="J23" s="570">
        <f>Q22</f>
        <v>78.222031348991379</v>
      </c>
      <c r="K23" s="532" t="s">
        <v>51</v>
      </c>
      <c r="L23" s="307"/>
      <c r="M23" s="308"/>
    </row>
    <row r="24" spans="1:23" ht="23.25">
      <c r="A24" s="325"/>
      <c r="B24" s="359"/>
      <c r="C24" s="310"/>
      <c r="D24" s="310"/>
      <c r="E24" s="310"/>
      <c r="F24" s="310"/>
      <c r="G24" s="310"/>
      <c r="H24" s="329"/>
      <c r="I24" s="330"/>
      <c r="J24" s="404"/>
      <c r="K24" s="331"/>
      <c r="L24" s="326"/>
      <c r="M24" s="299"/>
      <c r="P24" s="530" t="s">
        <v>324</v>
      </c>
      <c r="Q24" s="530" t="s">
        <v>330</v>
      </c>
      <c r="R24" s="530" t="s">
        <v>240</v>
      </c>
    </row>
    <row r="25" spans="1:23" ht="25.5">
      <c r="A25" s="302" t="s">
        <v>179</v>
      </c>
      <c r="B25" s="403">
        <v>4</v>
      </c>
      <c r="C25" s="332">
        <v>0.5</v>
      </c>
      <c r="D25" s="332">
        <v>0.75</v>
      </c>
      <c r="E25" s="332">
        <v>1</v>
      </c>
      <c r="F25" s="332">
        <v>1</v>
      </c>
      <c r="G25" s="332">
        <v>1</v>
      </c>
      <c r="H25" s="726" t="s">
        <v>57</v>
      </c>
      <c r="I25" s="722"/>
      <c r="J25" s="722"/>
      <c r="K25" s="723"/>
      <c r="L25" s="304">
        <f>2+U26</f>
        <v>2.2851405333333332</v>
      </c>
      <c r="M25" s="305">
        <f>IF(L25=0,"-",ROUND(L25*B25/B$82,4))</f>
        <v>0.127</v>
      </c>
      <c r="N25" s="488">
        <v>13</v>
      </c>
      <c r="O25" s="618" t="s">
        <v>290</v>
      </c>
      <c r="P25" s="466">
        <v>350000</v>
      </c>
      <c r="Q25" s="473">
        <v>298566.59999999998</v>
      </c>
      <c r="R25" s="436">
        <f t="shared" ref="R25:R29" si="0">Q25*100/P25</f>
        <v>85.304742857142841</v>
      </c>
      <c r="S25" s="292" t="s">
        <v>51</v>
      </c>
      <c r="T25" s="502">
        <v>25</v>
      </c>
      <c r="U25" s="503">
        <v>1</v>
      </c>
      <c r="V25" s="445"/>
      <c r="W25" s="445"/>
    </row>
    <row r="26" spans="1:23" ht="25.5">
      <c r="A26" s="309" t="s">
        <v>23</v>
      </c>
      <c r="B26" s="352"/>
      <c r="C26" s="320"/>
      <c r="D26" s="320"/>
      <c r="E26" s="320"/>
      <c r="F26" s="335" t="s">
        <v>70</v>
      </c>
      <c r="G26" s="335" t="s">
        <v>70</v>
      </c>
      <c r="H26" s="531" t="s">
        <v>58</v>
      </c>
      <c r="I26" s="535"/>
      <c r="J26" s="535"/>
      <c r="K26" s="532"/>
      <c r="L26" s="307"/>
      <c r="M26" s="308"/>
      <c r="N26" s="491"/>
      <c r="O26" s="467" t="s">
        <v>291</v>
      </c>
      <c r="P26" s="468">
        <v>350000</v>
      </c>
      <c r="Q26" s="474">
        <v>255399.9</v>
      </c>
      <c r="R26" s="436">
        <f t="shared" si="0"/>
        <v>72.971400000000003</v>
      </c>
      <c r="S26" s="292" t="s">
        <v>51</v>
      </c>
      <c r="T26" s="502">
        <f>Q31-75</f>
        <v>7.1285133333333306</v>
      </c>
      <c r="U26" s="503">
        <f>U25*T26/T25</f>
        <v>0.28514053333333322</v>
      </c>
      <c r="V26" s="445"/>
      <c r="W26" s="445"/>
    </row>
    <row r="27" spans="1:23" ht="25.5">
      <c r="A27" s="309" t="s">
        <v>24</v>
      </c>
      <c r="B27" s="352"/>
      <c r="C27" s="320"/>
      <c r="D27" s="320"/>
      <c r="E27" s="320"/>
      <c r="F27" s="335" t="s">
        <v>137</v>
      </c>
      <c r="G27" s="335" t="s">
        <v>138</v>
      </c>
      <c r="H27" s="531" t="s">
        <v>147</v>
      </c>
      <c r="I27" s="535"/>
      <c r="J27" s="535"/>
      <c r="K27" s="532"/>
      <c r="L27" s="307"/>
      <c r="M27" s="308"/>
      <c r="N27" s="518"/>
      <c r="O27" s="491" t="s">
        <v>292</v>
      </c>
      <c r="P27" s="519">
        <v>350000</v>
      </c>
      <c r="Q27" s="474">
        <v>234988.55</v>
      </c>
      <c r="R27" s="436">
        <f t="shared" si="0"/>
        <v>67.139585714285715</v>
      </c>
      <c r="S27" s="292" t="s">
        <v>51</v>
      </c>
      <c r="T27" s="502"/>
      <c r="U27" s="503"/>
      <c r="V27" s="445"/>
      <c r="W27" s="445"/>
    </row>
    <row r="28" spans="1:23" ht="25.5">
      <c r="A28" s="309"/>
      <c r="B28" s="352"/>
      <c r="C28" s="320"/>
      <c r="D28" s="320"/>
      <c r="E28" s="320"/>
      <c r="F28" s="320"/>
      <c r="G28" s="320"/>
      <c r="H28" s="531" t="s">
        <v>180</v>
      </c>
      <c r="I28" s="535"/>
      <c r="J28" s="535"/>
      <c r="K28" s="532"/>
      <c r="L28" s="307"/>
      <c r="M28" s="308"/>
      <c r="N28" s="491"/>
      <c r="O28" s="467" t="s">
        <v>293</v>
      </c>
      <c r="P28" s="468">
        <v>600000</v>
      </c>
      <c r="Q28" s="474">
        <v>546368.19999999995</v>
      </c>
      <c r="R28" s="436">
        <f t="shared" si="0"/>
        <v>91.061366666666657</v>
      </c>
      <c r="S28" s="292" t="s">
        <v>51</v>
      </c>
      <c r="T28" s="502"/>
      <c r="U28" s="503"/>
      <c r="V28" s="445"/>
      <c r="W28" s="445"/>
    </row>
    <row r="29" spans="1:23" ht="24" customHeight="1">
      <c r="A29" s="309"/>
      <c r="B29" s="352"/>
      <c r="C29" s="320"/>
      <c r="D29" s="320"/>
      <c r="E29" s="320"/>
      <c r="F29" s="320"/>
      <c r="G29" s="311"/>
      <c r="H29" s="531"/>
      <c r="I29" s="323" t="s">
        <v>56</v>
      </c>
      <c r="J29" s="324">
        <f>Q31</f>
        <v>82.128513333333331</v>
      </c>
      <c r="K29" s="532" t="s">
        <v>51</v>
      </c>
      <c r="L29" s="307"/>
      <c r="M29" s="308"/>
      <c r="N29" s="492"/>
      <c r="O29" s="492" t="s">
        <v>294</v>
      </c>
      <c r="P29" s="470">
        <v>600000</v>
      </c>
      <c r="Q29" s="475">
        <v>512568.3</v>
      </c>
      <c r="R29" s="436">
        <f t="shared" si="0"/>
        <v>85.428049999999999</v>
      </c>
      <c r="S29" s="292" t="s">
        <v>51</v>
      </c>
      <c r="T29" s="502"/>
      <c r="U29" s="503"/>
      <c r="V29" s="445"/>
      <c r="W29" s="445"/>
    </row>
    <row r="30" spans="1:23" ht="23.25">
      <c r="A30" s="309"/>
      <c r="B30" s="352"/>
      <c r="C30" s="320"/>
      <c r="D30" s="320"/>
      <c r="E30" s="320"/>
      <c r="F30" s="320"/>
      <c r="G30" s="320"/>
      <c r="H30" s="333"/>
      <c r="I30" s="306"/>
      <c r="J30" s="306"/>
      <c r="K30" s="312"/>
      <c r="L30" s="307"/>
      <c r="M30" s="308"/>
      <c r="O30" s="498" t="s">
        <v>349</v>
      </c>
      <c r="P30" s="451">
        <f>SUM(P25:P29)</f>
        <v>2250000</v>
      </c>
      <c r="Q30" s="580">
        <f>SUM(Q25:Q29)</f>
        <v>1847891.55</v>
      </c>
      <c r="R30" s="580"/>
    </row>
    <row r="31" spans="1:23" ht="23.25">
      <c r="A31" s="302" t="s">
        <v>183</v>
      </c>
      <c r="B31" s="403">
        <v>4</v>
      </c>
      <c r="C31" s="332">
        <v>0.8</v>
      </c>
      <c r="D31" s="332">
        <v>0.85</v>
      </c>
      <c r="E31" s="332">
        <v>0.9</v>
      </c>
      <c r="F31" s="332">
        <v>0.95</v>
      </c>
      <c r="G31" s="332">
        <v>1</v>
      </c>
      <c r="H31" s="386" t="s">
        <v>150</v>
      </c>
      <c r="I31" s="387"/>
      <c r="J31" s="387"/>
      <c r="K31" s="388"/>
      <c r="L31" s="304">
        <v>1</v>
      </c>
      <c r="M31" s="305">
        <f>IF(L31=0,"-",ROUND(L31*B31/B$82,4))</f>
        <v>5.5599999999999997E-2</v>
      </c>
      <c r="N31" s="429" t="s">
        <v>202</v>
      </c>
      <c r="Q31" s="494">
        <f>Q30*100/P30</f>
        <v>82.128513333333331</v>
      </c>
      <c r="R31" s="292" t="s">
        <v>51</v>
      </c>
    </row>
    <row r="32" spans="1:23" ht="23.25">
      <c r="A32" s="309" t="s">
        <v>28</v>
      </c>
      <c r="B32" s="352"/>
      <c r="C32" s="320"/>
      <c r="D32" s="320"/>
      <c r="E32" s="320"/>
      <c r="F32" s="320"/>
      <c r="G32" s="320"/>
      <c r="H32" s="531" t="s">
        <v>154</v>
      </c>
      <c r="I32" s="535"/>
      <c r="J32" s="535"/>
      <c r="K32" s="532"/>
      <c r="L32" s="307"/>
      <c r="M32" s="308"/>
      <c r="N32" s="429" t="s">
        <v>237</v>
      </c>
    </row>
    <row r="33" spans="1:15" ht="23.25">
      <c r="A33" s="309" t="s">
        <v>60</v>
      </c>
      <c r="B33" s="352"/>
      <c r="C33" s="320"/>
      <c r="D33" s="320"/>
      <c r="E33" s="320"/>
      <c r="F33" s="320"/>
      <c r="G33" s="320"/>
      <c r="H33" s="531" t="s">
        <v>64</v>
      </c>
      <c r="I33" s="535"/>
      <c r="J33" s="535"/>
      <c r="K33" s="532"/>
      <c r="L33" s="307"/>
      <c r="M33" s="308"/>
      <c r="N33" s="292">
        <v>25</v>
      </c>
      <c r="O33" s="435">
        <v>1</v>
      </c>
    </row>
    <row r="34" spans="1:15" ht="23.25">
      <c r="A34" s="309"/>
      <c r="B34" s="352"/>
      <c r="C34" s="320"/>
      <c r="D34" s="320"/>
      <c r="E34" s="320"/>
      <c r="F34" s="320"/>
      <c r="G34" s="320"/>
      <c r="H34" s="380" t="s">
        <v>180</v>
      </c>
      <c r="I34" s="323"/>
      <c r="J34" s="322"/>
      <c r="K34" s="382"/>
      <c r="L34" s="307"/>
      <c r="M34" s="308"/>
      <c r="N34" s="292">
        <v>5</v>
      </c>
      <c r="O34" s="435">
        <f>O33*N34/N33</f>
        <v>0.2</v>
      </c>
    </row>
    <row r="35" spans="1:15" ht="23.25">
      <c r="A35" s="309"/>
      <c r="B35" s="352"/>
      <c r="C35" s="320"/>
      <c r="D35" s="320"/>
      <c r="E35" s="320"/>
      <c r="F35" s="320"/>
      <c r="G35" s="320"/>
      <c r="H35" s="380"/>
      <c r="I35" s="323" t="s">
        <v>66</v>
      </c>
      <c r="J35" s="334">
        <v>9</v>
      </c>
      <c r="K35" s="382" t="s">
        <v>61</v>
      </c>
      <c r="L35" s="307"/>
      <c r="M35" s="308"/>
    </row>
    <row r="36" spans="1:15" ht="23.25">
      <c r="A36" s="309"/>
      <c r="B36" s="352"/>
      <c r="C36" s="320"/>
      <c r="D36" s="320"/>
      <c r="E36" s="320"/>
      <c r="F36" s="320"/>
      <c r="G36" s="320"/>
      <c r="H36" s="380"/>
      <c r="I36" s="323" t="s">
        <v>67</v>
      </c>
      <c r="J36" s="334">
        <v>2</v>
      </c>
      <c r="K36" s="382" t="s">
        <v>61</v>
      </c>
      <c r="L36" s="307"/>
      <c r="M36" s="308"/>
    </row>
    <row r="37" spans="1:15" ht="23.25">
      <c r="A37" s="309"/>
      <c r="B37" s="352"/>
      <c r="C37" s="320"/>
      <c r="D37" s="320"/>
      <c r="E37" s="320"/>
      <c r="F37" s="320"/>
      <c r="G37" s="320"/>
      <c r="H37" s="531"/>
      <c r="I37" s="323" t="s">
        <v>81</v>
      </c>
      <c r="J37" s="334">
        <f>J36*100/J35</f>
        <v>22.222222222222221</v>
      </c>
      <c r="K37" s="532" t="s">
        <v>51</v>
      </c>
      <c r="L37" s="307"/>
      <c r="M37" s="308"/>
    </row>
    <row r="38" spans="1:15" ht="23.25">
      <c r="A38" s="325"/>
      <c r="B38" s="359"/>
      <c r="C38" s="310"/>
      <c r="D38" s="310"/>
      <c r="E38" s="310"/>
      <c r="F38" s="310"/>
      <c r="G38" s="310"/>
      <c r="H38" s="527"/>
      <c r="I38" s="427"/>
      <c r="J38" s="427"/>
      <c r="K38" s="428"/>
      <c r="L38" s="326"/>
      <c r="M38" s="299"/>
    </row>
    <row r="39" spans="1:15" ht="23.25">
      <c r="A39" s="302" t="s">
        <v>184</v>
      </c>
      <c r="B39" s="403">
        <v>4</v>
      </c>
      <c r="C39" s="332">
        <v>0.5</v>
      </c>
      <c r="D39" s="332">
        <v>0.75</v>
      </c>
      <c r="E39" s="332">
        <v>1</v>
      </c>
      <c r="F39" s="332">
        <v>1</v>
      </c>
      <c r="G39" s="332">
        <v>1</v>
      </c>
      <c r="H39" s="536" t="s">
        <v>152</v>
      </c>
      <c r="I39" s="533"/>
      <c r="J39" s="533"/>
      <c r="K39" s="534"/>
      <c r="L39" s="304">
        <v>1</v>
      </c>
      <c r="M39" s="305">
        <f>IF(L39=0,"-",ROUND(L39*B39/B$82,4))</f>
        <v>5.5599999999999997E-2</v>
      </c>
      <c r="N39" s="429" t="s">
        <v>332</v>
      </c>
    </row>
    <row r="40" spans="1:15" ht="23.25">
      <c r="A40" s="309" t="s">
        <v>151</v>
      </c>
      <c r="B40" s="406"/>
      <c r="C40" s="335"/>
      <c r="D40" s="335"/>
      <c r="E40" s="335"/>
      <c r="F40" s="335" t="s">
        <v>70</v>
      </c>
      <c r="G40" s="335" t="s">
        <v>70</v>
      </c>
      <c r="H40" s="535" t="s">
        <v>153</v>
      </c>
      <c r="I40" s="535"/>
      <c r="J40" s="535"/>
      <c r="K40" s="532"/>
      <c r="L40" s="307"/>
      <c r="M40" s="308"/>
      <c r="N40" s="429" t="s">
        <v>237</v>
      </c>
    </row>
    <row r="41" spans="1:15" ht="23.25">
      <c r="A41" s="309"/>
      <c r="B41" s="406"/>
      <c r="C41" s="335"/>
      <c r="D41" s="335"/>
      <c r="E41" s="335"/>
      <c r="F41" s="335" t="s">
        <v>137</v>
      </c>
      <c r="G41" s="335" t="s">
        <v>138</v>
      </c>
      <c r="H41" s="535" t="s">
        <v>180</v>
      </c>
      <c r="I41" s="535"/>
      <c r="J41" s="535"/>
      <c r="K41" s="532"/>
      <c r="L41" s="307"/>
      <c r="M41" s="308"/>
    </row>
    <row r="42" spans="1:15" ht="23.25">
      <c r="A42" s="309"/>
      <c r="B42" s="406"/>
      <c r="C42" s="336"/>
      <c r="D42" s="336"/>
      <c r="E42" s="336"/>
      <c r="F42" s="336"/>
      <c r="G42" s="390"/>
      <c r="H42" s="531"/>
      <c r="I42" s="323" t="s">
        <v>56</v>
      </c>
      <c r="J42" s="324">
        <v>50</v>
      </c>
      <c r="K42" s="532" t="s">
        <v>51</v>
      </c>
      <c r="L42" s="307"/>
      <c r="M42" s="308"/>
    </row>
    <row r="43" spans="1:15" ht="23.25">
      <c r="A43" s="325"/>
      <c r="B43" s="359"/>
      <c r="C43" s="310"/>
      <c r="D43" s="310"/>
      <c r="E43" s="310"/>
      <c r="F43" s="310"/>
      <c r="G43" s="310"/>
      <c r="H43" s="527"/>
      <c r="I43" s="528"/>
      <c r="J43" s="528"/>
      <c r="K43" s="529"/>
      <c r="L43" s="326"/>
      <c r="M43" s="299"/>
    </row>
    <row r="44" spans="1:15" ht="23.25">
      <c r="A44" s="302" t="s">
        <v>185</v>
      </c>
      <c r="B44" s="403">
        <v>12</v>
      </c>
      <c r="C44" s="332">
        <v>0.78</v>
      </c>
      <c r="D44" s="332">
        <v>0.81</v>
      </c>
      <c r="E44" s="332">
        <v>0.84</v>
      </c>
      <c r="F44" s="332">
        <v>0.87</v>
      </c>
      <c r="G44" s="332">
        <v>0.9</v>
      </c>
      <c r="H44" s="536" t="s">
        <v>186</v>
      </c>
      <c r="I44" s="533"/>
      <c r="J44" s="533"/>
      <c r="K44" s="534"/>
      <c r="L44" s="304">
        <f>1+O47</f>
        <v>1.0427312989730855</v>
      </c>
      <c r="M44" s="305">
        <f>IF(L44=0,"-",ROUND(L44*B44/B$82,4))</f>
        <v>0.17380000000000001</v>
      </c>
      <c r="N44" s="429" t="s">
        <v>297</v>
      </c>
    </row>
    <row r="45" spans="1:15" ht="23.25">
      <c r="A45" s="309" t="s">
        <v>400</v>
      </c>
      <c r="B45" s="352"/>
      <c r="C45" s="320"/>
      <c r="D45" s="320"/>
      <c r="E45" s="320"/>
      <c r="F45" s="320"/>
      <c r="G45" s="320"/>
      <c r="H45" s="531" t="s">
        <v>196</v>
      </c>
      <c r="I45" s="535"/>
      <c r="J45" s="535"/>
      <c r="K45" s="532"/>
      <c r="L45" s="307"/>
      <c r="M45" s="308"/>
      <c r="N45" s="429" t="s">
        <v>237</v>
      </c>
    </row>
    <row r="46" spans="1:15" ht="23.25">
      <c r="A46" s="309"/>
      <c r="B46" s="352"/>
      <c r="C46" s="320"/>
      <c r="D46" s="320"/>
      <c r="E46" s="320"/>
      <c r="F46" s="320"/>
      <c r="G46" s="320"/>
      <c r="H46" s="327"/>
      <c r="I46" s="327" t="s">
        <v>87</v>
      </c>
      <c r="J46" s="433">
        <v>205470000</v>
      </c>
      <c r="K46" s="532" t="s">
        <v>187</v>
      </c>
      <c r="L46" s="307"/>
      <c r="M46" s="308"/>
      <c r="N46" s="292">
        <v>3</v>
      </c>
      <c r="O46" s="435">
        <v>1</v>
      </c>
    </row>
    <row r="47" spans="1:15" ht="23.25">
      <c r="A47" s="309"/>
      <c r="B47" s="352"/>
      <c r="C47" s="320"/>
      <c r="D47" s="320"/>
      <c r="E47" s="320"/>
      <c r="F47" s="320"/>
      <c r="G47" s="320"/>
      <c r="H47" s="327"/>
      <c r="I47" s="323" t="s">
        <v>188</v>
      </c>
      <c r="J47" s="434">
        <v>160530000</v>
      </c>
      <c r="K47" s="532" t="s">
        <v>187</v>
      </c>
      <c r="L47" s="307"/>
      <c r="M47" s="308"/>
      <c r="N47" s="580">
        <f>J48-78</f>
        <v>0.12819389691925664</v>
      </c>
      <c r="O47" s="435">
        <f>O46*N47/N46</f>
        <v>4.2731298973085551E-2</v>
      </c>
    </row>
    <row r="48" spans="1:15" ht="23.25">
      <c r="A48" s="309"/>
      <c r="B48" s="352"/>
      <c r="C48" s="320"/>
      <c r="D48" s="320"/>
      <c r="E48" s="320"/>
      <c r="F48" s="320"/>
      <c r="G48" s="320"/>
      <c r="H48" s="327"/>
      <c r="I48" s="323" t="s">
        <v>189</v>
      </c>
      <c r="J48" s="430">
        <f>J47*100/J46</f>
        <v>78.128193896919257</v>
      </c>
      <c r="K48" s="532" t="s">
        <v>51</v>
      </c>
      <c r="L48" s="307"/>
      <c r="M48" s="308"/>
    </row>
    <row r="49" spans="1:15" ht="23.25">
      <c r="A49" s="325"/>
      <c r="B49" s="359"/>
      <c r="C49" s="310"/>
      <c r="D49" s="310"/>
      <c r="E49" s="310"/>
      <c r="F49" s="310"/>
      <c r="G49" s="310"/>
      <c r="H49" s="337"/>
      <c r="I49" s="427"/>
      <c r="J49" s="338"/>
      <c r="K49" s="428"/>
      <c r="L49" s="326"/>
      <c r="M49" s="299"/>
    </row>
    <row r="50" spans="1:15" ht="23.25">
      <c r="A50" s="339" t="s">
        <v>190</v>
      </c>
      <c r="B50" s="407">
        <v>4</v>
      </c>
      <c r="C50" s="340">
        <v>0.65</v>
      </c>
      <c r="D50" s="340">
        <v>0.7</v>
      </c>
      <c r="E50" s="340">
        <v>0.75</v>
      </c>
      <c r="F50" s="340">
        <v>0.8</v>
      </c>
      <c r="G50" s="340">
        <v>0.85</v>
      </c>
      <c r="H50" s="536" t="s">
        <v>156</v>
      </c>
      <c r="I50" s="533"/>
      <c r="J50" s="533"/>
      <c r="K50" s="534"/>
      <c r="L50" s="304">
        <v>1</v>
      </c>
      <c r="M50" s="305">
        <f>IF(L50=0,"-",ROUND(L50*B50/B$82,4))</f>
        <v>5.5599999999999997E-2</v>
      </c>
      <c r="N50" s="429" t="s">
        <v>340</v>
      </c>
    </row>
    <row r="51" spans="1:15" ht="23.25">
      <c r="A51" s="309" t="s">
        <v>145</v>
      </c>
      <c r="B51" s="352"/>
      <c r="C51" s="320"/>
      <c r="D51" s="320"/>
      <c r="E51" s="320"/>
      <c r="F51" s="320"/>
      <c r="G51" s="320"/>
      <c r="H51" s="531" t="s">
        <v>104</v>
      </c>
      <c r="I51" s="535"/>
      <c r="J51" s="535"/>
      <c r="K51" s="532"/>
      <c r="L51" s="307"/>
      <c r="M51" s="308"/>
      <c r="N51" s="429" t="s">
        <v>237</v>
      </c>
    </row>
    <row r="52" spans="1:15" ht="23.25">
      <c r="A52" s="389" t="s">
        <v>155</v>
      </c>
      <c r="B52" s="352"/>
      <c r="C52" s="320"/>
      <c r="D52" s="320"/>
      <c r="E52" s="320"/>
      <c r="F52" s="320"/>
      <c r="G52" s="320"/>
      <c r="H52" s="531" t="s">
        <v>105</v>
      </c>
      <c r="I52" s="535"/>
      <c r="J52" s="535"/>
      <c r="K52" s="532"/>
      <c r="L52" s="307"/>
      <c r="M52" s="308"/>
    </row>
    <row r="53" spans="1:15" ht="23.25">
      <c r="A53" s="309"/>
      <c r="B53" s="352"/>
      <c r="C53" s="320"/>
      <c r="D53" s="320"/>
      <c r="E53" s="320"/>
      <c r="F53" s="320"/>
      <c r="G53" s="320"/>
      <c r="H53" s="341"/>
      <c r="I53" s="342" t="s">
        <v>113</v>
      </c>
      <c r="J53" s="343" t="s">
        <v>11</v>
      </c>
      <c r="K53" s="532" t="s">
        <v>51</v>
      </c>
      <c r="L53" s="307"/>
      <c r="M53" s="308"/>
    </row>
    <row r="54" spans="1:15" ht="23.25">
      <c r="A54" s="325"/>
      <c r="B54" s="359"/>
      <c r="C54" s="310"/>
      <c r="D54" s="310"/>
      <c r="E54" s="310"/>
      <c r="F54" s="310"/>
      <c r="G54" s="416"/>
      <c r="H54" s="705" t="s">
        <v>211</v>
      </c>
      <c r="I54" s="706"/>
      <c r="J54" s="706"/>
      <c r="K54" s="707"/>
      <c r="L54" s="326"/>
      <c r="M54" s="299"/>
    </row>
    <row r="55" spans="1:15" ht="23.25">
      <c r="A55" s="302" t="s">
        <v>106</v>
      </c>
      <c r="B55" s="407">
        <v>4</v>
      </c>
      <c r="C55" s="346" t="s">
        <v>29</v>
      </c>
      <c r="D55" s="346" t="s">
        <v>30</v>
      </c>
      <c r="E55" s="346" t="s">
        <v>31</v>
      </c>
      <c r="F55" s="346" t="s">
        <v>32</v>
      </c>
      <c r="G55" s="346" t="s">
        <v>33</v>
      </c>
      <c r="H55" s="536" t="s">
        <v>108</v>
      </c>
      <c r="I55" s="533"/>
      <c r="J55" s="533"/>
      <c r="K55" s="534"/>
      <c r="L55" s="304">
        <v>2</v>
      </c>
      <c r="M55" s="305">
        <f>IF(L55=0,"-",ROUND(L55*B55/B$82,4))</f>
        <v>0.1111</v>
      </c>
      <c r="N55" s="429" t="s">
        <v>332</v>
      </c>
    </row>
    <row r="56" spans="1:15" ht="23.25">
      <c r="A56" s="309" t="s">
        <v>107</v>
      </c>
      <c r="B56" s="352"/>
      <c r="C56" s="348">
        <v>1.5</v>
      </c>
      <c r="D56" s="348">
        <v>2</v>
      </c>
      <c r="E56" s="348">
        <v>2.5</v>
      </c>
      <c r="F56" s="348">
        <v>3</v>
      </c>
      <c r="G56" s="348">
        <v>5</v>
      </c>
      <c r="H56" s="531" t="s">
        <v>146</v>
      </c>
      <c r="I56" s="535"/>
      <c r="J56" s="535"/>
      <c r="K56" s="532"/>
      <c r="L56" s="307"/>
      <c r="M56" s="308"/>
      <c r="N56" s="429" t="s">
        <v>237</v>
      </c>
    </row>
    <row r="57" spans="1:15" ht="23.25">
      <c r="A57" s="309"/>
      <c r="B57" s="352"/>
      <c r="C57" s="344"/>
      <c r="D57" s="344"/>
      <c r="E57" s="344"/>
      <c r="F57" s="344"/>
      <c r="G57" s="344"/>
      <c r="H57" s="531" t="s">
        <v>110</v>
      </c>
      <c r="I57" s="535"/>
      <c r="J57" s="535"/>
      <c r="K57" s="532"/>
      <c r="L57" s="307"/>
      <c r="M57" s="308"/>
    </row>
    <row r="58" spans="1:15" ht="23.25">
      <c r="A58" s="309"/>
      <c r="B58" s="352"/>
      <c r="C58" s="344"/>
      <c r="D58" s="344"/>
      <c r="E58" s="344"/>
      <c r="F58" s="344"/>
      <c r="G58" s="344"/>
      <c r="H58" s="531" t="s">
        <v>191</v>
      </c>
      <c r="I58" s="535"/>
      <c r="J58" s="535"/>
      <c r="K58" s="532"/>
      <c r="L58" s="307"/>
      <c r="M58" s="308"/>
    </row>
    <row r="59" spans="1:15" ht="23.25">
      <c r="A59" s="309"/>
      <c r="B59" s="352"/>
      <c r="C59" s="344"/>
      <c r="D59" s="344"/>
      <c r="E59" s="344"/>
      <c r="F59" s="344"/>
      <c r="G59" s="344"/>
      <c r="H59" s="531"/>
      <c r="I59" s="323" t="s">
        <v>112</v>
      </c>
      <c r="J59" s="324">
        <v>2</v>
      </c>
      <c r="K59" s="382"/>
      <c r="L59" s="307"/>
      <c r="M59" s="308"/>
    </row>
    <row r="60" spans="1:15" ht="23.25">
      <c r="A60" s="325"/>
      <c r="B60" s="359"/>
      <c r="C60" s="310"/>
      <c r="D60" s="310"/>
      <c r="E60" s="310"/>
      <c r="F60" s="310"/>
      <c r="G60" s="310"/>
      <c r="H60" s="705"/>
      <c r="I60" s="706"/>
      <c r="J60" s="706"/>
      <c r="K60" s="707"/>
      <c r="L60" s="326"/>
      <c r="M60" s="299"/>
    </row>
    <row r="61" spans="1:15" ht="23.25">
      <c r="A61" s="350" t="s">
        <v>132</v>
      </c>
      <c r="B61" s="407">
        <v>4</v>
      </c>
      <c r="C61" s="340">
        <v>0.1</v>
      </c>
      <c r="D61" s="340">
        <v>0.3</v>
      </c>
      <c r="E61" s="340">
        <v>0.5</v>
      </c>
      <c r="F61" s="340">
        <v>0.7</v>
      </c>
      <c r="G61" s="340">
        <v>1</v>
      </c>
      <c r="H61" s="536" t="s">
        <v>123</v>
      </c>
      <c r="I61" s="533"/>
      <c r="J61" s="533"/>
      <c r="K61" s="534"/>
      <c r="L61" s="304">
        <f>4+O64</f>
        <v>4.7</v>
      </c>
      <c r="M61" s="305">
        <f>IF(L61=0,"-",ROUND(L61*B61/B$82,4))</f>
        <v>0.2611</v>
      </c>
      <c r="N61" s="429" t="s">
        <v>202</v>
      </c>
    </row>
    <row r="62" spans="1:15" ht="23.25">
      <c r="A62" s="351" t="s">
        <v>192</v>
      </c>
      <c r="B62" s="352"/>
      <c r="C62" s="320"/>
      <c r="D62" s="320"/>
      <c r="E62" s="320"/>
      <c r="F62" s="320"/>
      <c r="G62" s="311"/>
      <c r="H62" s="531" t="s">
        <v>124</v>
      </c>
      <c r="I62" s="322"/>
      <c r="J62" s="353"/>
      <c r="K62" s="354"/>
      <c r="L62" s="355"/>
      <c r="M62" s="308"/>
      <c r="N62" s="429" t="s">
        <v>237</v>
      </c>
    </row>
    <row r="63" spans="1:15" ht="23.25">
      <c r="A63" s="351"/>
      <c r="B63" s="352"/>
      <c r="C63" s="320"/>
      <c r="D63" s="320"/>
      <c r="E63" s="320"/>
      <c r="F63" s="320"/>
      <c r="G63" s="320"/>
      <c r="H63" s="535" t="s">
        <v>125</v>
      </c>
      <c r="I63" s="322"/>
      <c r="J63" s="353"/>
      <c r="K63" s="354"/>
      <c r="L63" s="355"/>
      <c r="M63" s="308"/>
      <c r="N63" s="292">
        <v>30</v>
      </c>
      <c r="O63" s="435">
        <v>1</v>
      </c>
    </row>
    <row r="64" spans="1:15" ht="23.25">
      <c r="A64" s="351"/>
      <c r="B64" s="352"/>
      <c r="C64" s="320"/>
      <c r="D64" s="320"/>
      <c r="E64" s="320"/>
      <c r="F64" s="320"/>
      <c r="G64" s="320"/>
      <c r="H64" s="531" t="s">
        <v>126</v>
      </c>
      <c r="I64" s="322"/>
      <c r="J64" s="353"/>
      <c r="K64" s="354"/>
      <c r="L64" s="355"/>
      <c r="M64" s="308"/>
      <c r="N64" s="292">
        <v>21</v>
      </c>
      <c r="O64" s="435">
        <f>O63*N64/N63</f>
        <v>0.7</v>
      </c>
    </row>
    <row r="65" spans="1:14" ht="23.25">
      <c r="A65" s="351"/>
      <c r="B65" s="352"/>
      <c r="C65" s="320"/>
      <c r="D65" s="320"/>
      <c r="E65" s="320"/>
      <c r="F65" s="320"/>
      <c r="G65" s="320"/>
      <c r="H65" s="531" t="s">
        <v>127</v>
      </c>
      <c r="I65" s="322"/>
      <c r="J65" s="353"/>
      <c r="K65" s="354"/>
      <c r="L65" s="355"/>
      <c r="M65" s="308"/>
    </row>
    <row r="66" spans="1:14" ht="23.25">
      <c r="A66" s="351"/>
      <c r="B66" s="352"/>
      <c r="C66" s="320"/>
      <c r="D66" s="320"/>
      <c r="E66" s="320"/>
      <c r="F66" s="320"/>
      <c r="G66" s="320"/>
      <c r="H66" s="531"/>
      <c r="I66" s="323" t="s">
        <v>114</v>
      </c>
      <c r="J66" s="408">
        <v>91</v>
      </c>
      <c r="K66" s="382" t="s">
        <v>51</v>
      </c>
      <c r="L66" s="355"/>
      <c r="M66" s="308"/>
    </row>
    <row r="67" spans="1:14" ht="23.25">
      <c r="A67" s="358"/>
      <c r="B67" s="359"/>
      <c r="C67" s="310"/>
      <c r="D67" s="310"/>
      <c r="E67" s="310"/>
      <c r="F67" s="310"/>
      <c r="G67" s="310"/>
      <c r="H67" s="330"/>
      <c r="I67" s="427"/>
      <c r="J67" s="427"/>
      <c r="K67" s="428"/>
      <c r="L67" s="360"/>
      <c r="M67" s="299"/>
    </row>
    <row r="68" spans="1:14" ht="23.25">
      <c r="A68" s="302" t="s">
        <v>115</v>
      </c>
      <c r="B68" s="407">
        <v>4</v>
      </c>
      <c r="C68" s="361">
        <v>0.8</v>
      </c>
      <c r="D68" s="361">
        <v>0.85</v>
      </c>
      <c r="E68" s="361">
        <v>0.9</v>
      </c>
      <c r="F68" s="361">
        <v>0.95</v>
      </c>
      <c r="G68" s="361">
        <v>1</v>
      </c>
      <c r="H68" s="536" t="s">
        <v>157</v>
      </c>
      <c r="I68" s="533"/>
      <c r="J68" s="533"/>
      <c r="K68" s="534"/>
      <c r="L68" s="304">
        <v>5</v>
      </c>
      <c r="M68" s="305">
        <f>IF(L68=0,"-",ROUND(L68*B68/B$82,4))</f>
        <v>0.27779999999999999</v>
      </c>
      <c r="N68" s="429" t="s">
        <v>352</v>
      </c>
    </row>
    <row r="69" spans="1:14" ht="23.25">
      <c r="A69" s="309" t="s">
        <v>116</v>
      </c>
      <c r="B69" s="352"/>
      <c r="C69" s="348"/>
      <c r="D69" s="348"/>
      <c r="E69" s="348"/>
      <c r="F69" s="348"/>
      <c r="G69" s="348"/>
      <c r="H69" s="531" t="s">
        <v>158</v>
      </c>
      <c r="I69" s="535"/>
      <c r="J69" s="535"/>
      <c r="K69" s="532"/>
      <c r="L69" s="362"/>
      <c r="M69" s="308"/>
      <c r="N69" s="429" t="s">
        <v>237</v>
      </c>
    </row>
    <row r="70" spans="1:14" ht="23.25">
      <c r="A70" s="309" t="s">
        <v>193</v>
      </c>
      <c r="B70" s="352"/>
      <c r="C70" s="320"/>
      <c r="D70" s="320"/>
      <c r="E70" s="320"/>
      <c r="F70" s="320"/>
      <c r="G70" s="320"/>
      <c r="H70" s="531" t="s">
        <v>197</v>
      </c>
      <c r="I70" s="535"/>
      <c r="J70" s="535"/>
      <c r="K70" s="532"/>
      <c r="L70" s="362"/>
      <c r="M70" s="308"/>
    </row>
    <row r="71" spans="1:14" ht="23.25">
      <c r="A71" s="309"/>
      <c r="B71" s="352"/>
      <c r="C71" s="320"/>
      <c r="D71" s="320"/>
      <c r="E71" s="320"/>
      <c r="F71" s="320"/>
      <c r="G71" s="320"/>
      <c r="H71" s="531" t="s">
        <v>120</v>
      </c>
      <c r="I71" s="535"/>
      <c r="J71" s="535"/>
      <c r="K71" s="532"/>
      <c r="L71" s="362"/>
      <c r="M71" s="308"/>
    </row>
    <row r="72" spans="1:14" ht="23.25">
      <c r="A72" s="309"/>
      <c r="B72" s="352"/>
      <c r="C72" s="320"/>
      <c r="D72" s="320"/>
      <c r="E72" s="320"/>
      <c r="F72" s="320"/>
      <c r="G72" s="320"/>
      <c r="H72" s="531" t="s">
        <v>194</v>
      </c>
      <c r="I72" s="535"/>
      <c r="J72" s="535"/>
      <c r="K72" s="532"/>
      <c r="L72" s="362"/>
      <c r="M72" s="308"/>
    </row>
    <row r="73" spans="1:14" ht="23.25">
      <c r="A73" s="309"/>
      <c r="B73" s="352"/>
      <c r="C73" s="320"/>
      <c r="D73" s="320"/>
      <c r="E73" s="320"/>
      <c r="F73" s="320"/>
      <c r="G73" s="344"/>
      <c r="H73" s="531" t="s">
        <v>195</v>
      </c>
      <c r="I73" s="345"/>
      <c r="J73" s="408">
        <v>100</v>
      </c>
      <c r="K73" s="414" t="s">
        <v>51</v>
      </c>
      <c r="L73" s="413"/>
      <c r="M73" s="308"/>
    </row>
    <row r="74" spans="1:14" ht="23.25">
      <c r="A74" s="358"/>
      <c r="B74" s="415"/>
      <c r="C74" s="412"/>
      <c r="D74" s="412"/>
      <c r="E74" s="412"/>
      <c r="F74" s="412"/>
      <c r="G74" s="329"/>
      <c r="H74" s="538"/>
      <c r="I74" s="418"/>
      <c r="J74" s="419"/>
      <c r="K74" s="417"/>
      <c r="L74" s="420"/>
      <c r="M74" s="308"/>
    </row>
    <row r="75" spans="1:14" ht="23.25">
      <c r="A75" s="351" t="s">
        <v>316</v>
      </c>
      <c r="B75" s="543">
        <v>4</v>
      </c>
      <c r="C75" s="544">
        <v>0.4</v>
      </c>
      <c r="D75" s="544">
        <v>0.45</v>
      </c>
      <c r="E75" s="544">
        <v>0.5</v>
      </c>
      <c r="F75" s="544">
        <v>0.55000000000000004</v>
      </c>
      <c r="G75" s="544">
        <v>0.6</v>
      </c>
      <c r="H75" s="531" t="s">
        <v>317</v>
      </c>
      <c r="I75" s="345"/>
      <c r="J75" s="545"/>
      <c r="K75" s="546"/>
      <c r="L75" s="413">
        <v>3</v>
      </c>
      <c r="M75" s="305">
        <f>IF(L75=0,"-",ROUND(L75*B75/B$82,4))</f>
        <v>0.16669999999999999</v>
      </c>
      <c r="N75" s="429" t="s">
        <v>332</v>
      </c>
    </row>
    <row r="76" spans="1:14" ht="23.25">
      <c r="A76" s="351" t="s">
        <v>318</v>
      </c>
      <c r="B76" s="406"/>
      <c r="C76" s="311"/>
      <c r="D76" s="311"/>
      <c r="E76" s="311"/>
      <c r="F76" s="311"/>
      <c r="G76" s="333"/>
      <c r="H76" s="531" t="s">
        <v>319</v>
      </c>
      <c r="I76" s="345"/>
      <c r="J76" s="545"/>
      <c r="K76" s="546"/>
      <c r="L76" s="413"/>
      <c r="M76" s="308"/>
      <c r="N76" s="429" t="s">
        <v>237</v>
      </c>
    </row>
    <row r="77" spans="1:14" ht="23.25">
      <c r="A77" s="351"/>
      <c r="B77" s="406"/>
      <c r="C77" s="311"/>
      <c r="D77" s="311"/>
      <c r="E77" s="311"/>
      <c r="F77" s="311"/>
      <c r="G77" s="333"/>
      <c r="H77" s="531"/>
      <c r="I77" s="345"/>
      <c r="J77" s="545"/>
      <c r="K77" s="546"/>
      <c r="L77" s="413"/>
      <c r="M77" s="308"/>
    </row>
    <row r="78" spans="1:14" ht="23.25">
      <c r="A78" s="351"/>
      <c r="B78" s="406"/>
      <c r="C78" s="311"/>
      <c r="D78" s="311"/>
      <c r="E78" s="311"/>
      <c r="F78" s="311"/>
      <c r="G78" s="333"/>
      <c r="H78" s="531"/>
      <c r="I78" s="345" t="s">
        <v>174</v>
      </c>
      <c r="J78" s="547">
        <v>50</v>
      </c>
      <c r="K78" s="414" t="s">
        <v>51</v>
      </c>
      <c r="L78" s="413"/>
      <c r="M78" s="308"/>
    </row>
    <row r="79" spans="1:14" ht="23.25">
      <c r="A79" s="351"/>
      <c r="B79" s="406"/>
      <c r="C79" s="311"/>
      <c r="D79" s="311"/>
      <c r="E79" s="311"/>
      <c r="F79" s="311"/>
      <c r="G79" s="333"/>
      <c r="H79" s="531"/>
      <c r="I79" s="345"/>
      <c r="J79" s="545"/>
      <c r="K79" s="546"/>
      <c r="L79" s="413"/>
      <c r="M79" s="308"/>
    </row>
    <row r="80" spans="1:14" ht="23.25">
      <c r="A80" s="351"/>
      <c r="B80" s="406"/>
      <c r="C80" s="311"/>
      <c r="D80" s="311"/>
      <c r="E80" s="311"/>
      <c r="F80" s="311"/>
      <c r="G80" s="333"/>
      <c r="H80" s="531"/>
      <c r="I80" s="345"/>
      <c r="J80" s="545"/>
      <c r="K80" s="546"/>
      <c r="L80" s="413"/>
      <c r="M80" s="308"/>
    </row>
    <row r="81" spans="1:13" ht="23.25">
      <c r="A81" s="358"/>
      <c r="B81" s="415"/>
      <c r="C81" s="412"/>
      <c r="D81" s="412"/>
      <c r="E81" s="412"/>
      <c r="F81" s="412"/>
      <c r="G81" s="416"/>
      <c r="H81" s="538"/>
      <c r="I81" s="345"/>
      <c r="J81" s="545"/>
      <c r="K81" s="417"/>
      <c r="L81" s="413"/>
      <c r="M81" s="308"/>
    </row>
    <row r="82" spans="1:13" ht="26.25">
      <c r="A82" s="363"/>
      <c r="B82" s="409">
        <f>ROUND(SUM(B6:B81),1)</f>
        <v>72</v>
      </c>
      <c r="C82" s="364"/>
      <c r="D82" s="364"/>
      <c r="E82" s="364"/>
      <c r="F82" s="364"/>
      <c r="G82" s="365"/>
      <c r="H82" s="364"/>
      <c r="I82" s="364"/>
      <c r="J82" s="364"/>
      <c r="K82" s="364"/>
      <c r="L82" s="366" t="s">
        <v>139</v>
      </c>
      <c r="M82" s="410">
        <f>(SUM(M11:M81))</f>
        <v>1.8103000000000002</v>
      </c>
    </row>
  </sheetData>
  <mergeCells count="21">
    <mergeCell ref="H14:K14"/>
    <mergeCell ref="A1:M1"/>
    <mergeCell ref="A2:M2"/>
    <mergeCell ref="C4:G4"/>
    <mergeCell ref="H4:K5"/>
    <mergeCell ref="L4:L5"/>
    <mergeCell ref="H6:I7"/>
    <mergeCell ref="J6:K6"/>
    <mergeCell ref="H9:I9"/>
    <mergeCell ref="H10:I10"/>
    <mergeCell ref="H11:K11"/>
    <mergeCell ref="H12:K12"/>
    <mergeCell ref="H13:K13"/>
    <mergeCell ref="H54:K54"/>
    <mergeCell ref="H60:K60"/>
    <mergeCell ref="H15:K15"/>
    <mergeCell ref="H17:K17"/>
    <mergeCell ref="H18:K18"/>
    <mergeCell ref="H19:K19"/>
    <mergeCell ref="H20:K20"/>
    <mergeCell ref="H25:K25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30" max="12" man="1"/>
    <brk id="5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F94"/>
  <sheetViews>
    <sheetView topLeftCell="A49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31" customWidth="1"/>
    <col min="2" max="2" width="9.7109375" style="31" customWidth="1"/>
    <col min="3" max="7" width="9.28515625" style="31" customWidth="1"/>
    <col min="8" max="9" width="9.85546875" style="31" customWidth="1"/>
    <col min="10" max="10" width="13.140625" style="31" customWidth="1"/>
    <col min="11" max="11" width="27.28515625" style="31" customWidth="1"/>
    <col min="12" max="12" width="11.5703125" style="31" customWidth="1"/>
    <col min="13" max="13" width="11.140625" style="31" customWidth="1"/>
    <col min="14" max="16384" width="9.140625" style="31"/>
  </cols>
  <sheetData>
    <row r="1" spans="1:16" ht="27.75">
      <c r="A1" s="685" t="s">
        <v>0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</row>
    <row r="2" spans="1:16" ht="27.75">
      <c r="A2" s="685" t="s">
        <v>45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</row>
    <row r="3" spans="1:16" ht="26.25" customHeight="1">
      <c r="A3" s="79" t="s">
        <v>133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37</v>
      </c>
    </row>
    <row r="4" spans="1:16" s="34" customFormat="1" ht="24.75" customHeight="1">
      <c r="A4" s="32" t="s">
        <v>1</v>
      </c>
      <c r="B4" s="32" t="s">
        <v>2</v>
      </c>
      <c r="C4" s="687" t="s">
        <v>3</v>
      </c>
      <c r="D4" s="687"/>
      <c r="E4" s="687"/>
      <c r="F4" s="687"/>
      <c r="G4" s="687"/>
      <c r="H4" s="688" t="s">
        <v>4</v>
      </c>
      <c r="I4" s="689"/>
      <c r="J4" s="689"/>
      <c r="K4" s="690"/>
      <c r="L4" s="694" t="s">
        <v>5</v>
      </c>
      <c r="M4" s="33" t="s">
        <v>6</v>
      </c>
    </row>
    <row r="5" spans="1:16" s="34" customFormat="1" ht="24.75" customHeight="1">
      <c r="A5" s="35" t="s">
        <v>7</v>
      </c>
      <c r="B5" s="35" t="s">
        <v>8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691"/>
      <c r="I5" s="692"/>
      <c r="J5" s="692"/>
      <c r="K5" s="693"/>
      <c r="L5" s="694"/>
      <c r="M5" s="37" t="s">
        <v>9</v>
      </c>
    </row>
    <row r="6" spans="1:16" ht="23.25" customHeight="1">
      <c r="A6" s="38" t="s">
        <v>10</v>
      </c>
      <c r="B6" s="109">
        <v>10</v>
      </c>
      <c r="C6" s="2">
        <v>0.6</v>
      </c>
      <c r="D6" s="2">
        <v>0.7</v>
      </c>
      <c r="E6" s="2">
        <v>0.8</v>
      </c>
      <c r="F6" s="2">
        <v>0.9</v>
      </c>
      <c r="G6" s="2">
        <v>1</v>
      </c>
      <c r="H6" s="221" t="s">
        <v>128</v>
      </c>
      <c r="I6" s="68"/>
      <c r="J6" s="68"/>
      <c r="K6" s="69"/>
      <c r="L6" s="114">
        <v>2.4500000000000002</v>
      </c>
      <c r="M6" s="61">
        <f>IF(L6=0,"-",L6*B6/B$94)</f>
        <v>0.245</v>
      </c>
    </row>
    <row r="7" spans="1:16" ht="23.25" customHeight="1">
      <c r="A7" s="39" t="s">
        <v>12</v>
      </c>
      <c r="B7" s="3"/>
      <c r="C7" s="4"/>
      <c r="D7" s="4"/>
      <c r="E7" s="4"/>
      <c r="F7" s="4"/>
      <c r="G7" s="4"/>
      <c r="H7" s="220" t="s">
        <v>40</v>
      </c>
      <c r="I7" s="70"/>
      <c r="J7" s="113">
        <v>74.48</v>
      </c>
      <c r="K7" s="71" t="s">
        <v>51</v>
      </c>
      <c r="L7" s="115"/>
      <c r="M7" s="62"/>
    </row>
    <row r="8" spans="1:16" ht="23.25" customHeight="1">
      <c r="A8" s="40"/>
      <c r="B8" s="5"/>
      <c r="C8" s="6"/>
      <c r="D8" s="6"/>
      <c r="E8" s="6"/>
      <c r="F8" s="6"/>
      <c r="G8" s="6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238">
        <v>8304</v>
      </c>
      <c r="D9" s="239">
        <v>11418</v>
      </c>
      <c r="E9" s="239">
        <v>14532</v>
      </c>
      <c r="F9" s="239">
        <v>17646</v>
      </c>
      <c r="G9" s="239">
        <v>20760</v>
      </c>
      <c r="H9" s="680" t="s">
        <v>14</v>
      </c>
      <c r="I9" s="681"/>
      <c r="J9" s="682" t="s">
        <v>15</v>
      </c>
      <c r="K9" s="682"/>
      <c r="L9" s="114">
        <v>1</v>
      </c>
      <c r="M9" s="61">
        <f>IF(L9=0,"-",L9*B9/B$94)</f>
        <v>0.1</v>
      </c>
      <c r="O9" s="41"/>
      <c r="P9" s="42"/>
    </row>
    <row r="10" spans="1:16" ht="23.25" customHeight="1">
      <c r="A10" s="40" t="s">
        <v>16</v>
      </c>
      <c r="B10" s="3"/>
      <c r="C10" s="9" t="s">
        <v>38</v>
      </c>
      <c r="D10" s="9" t="s">
        <v>38</v>
      </c>
      <c r="E10" s="9" t="s">
        <v>39</v>
      </c>
      <c r="F10" s="9" t="s">
        <v>38</v>
      </c>
      <c r="G10" s="9" t="s">
        <v>38</v>
      </c>
      <c r="H10" s="680"/>
      <c r="I10" s="681"/>
      <c r="J10" s="216" t="s">
        <v>17</v>
      </c>
      <c r="K10" s="216" t="s">
        <v>18</v>
      </c>
      <c r="L10" s="115"/>
      <c r="M10" s="62"/>
      <c r="O10" s="41"/>
      <c r="P10" s="43"/>
    </row>
    <row r="11" spans="1:16" ht="23.25" customHeight="1">
      <c r="A11" s="40"/>
      <c r="B11" s="3"/>
      <c r="C11" s="10"/>
      <c r="D11" s="10"/>
      <c r="E11" s="10"/>
      <c r="F11" s="10"/>
      <c r="G11" s="10"/>
      <c r="H11" s="683" t="s">
        <v>19</v>
      </c>
      <c r="I11" s="684"/>
      <c r="J11" s="73">
        <v>19000</v>
      </c>
      <c r="K11" s="64">
        <v>5000</v>
      </c>
      <c r="L11" s="115"/>
      <c r="M11" s="62"/>
    </row>
    <row r="12" spans="1:16" ht="23.25" customHeight="1">
      <c r="A12" s="40"/>
      <c r="B12" s="5"/>
      <c r="C12" s="11"/>
      <c r="D12" s="12"/>
      <c r="E12" s="12"/>
      <c r="F12" s="12"/>
      <c r="G12" s="12"/>
      <c r="H12" s="221" t="s">
        <v>41</v>
      </c>
      <c r="I12" s="219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2"/>
      <c r="D13" s="12"/>
      <c r="E13" s="12"/>
      <c r="F13" s="12"/>
      <c r="G13" s="12"/>
      <c r="H13" s="657" t="s">
        <v>42</v>
      </c>
      <c r="I13" s="659"/>
      <c r="J13" s="86"/>
      <c r="K13" s="87"/>
      <c r="L13" s="115"/>
      <c r="M13" s="62"/>
    </row>
    <row r="14" spans="1:16" ht="23.25" customHeight="1">
      <c r="A14" s="40"/>
      <c r="B14" s="5"/>
      <c r="C14" s="12"/>
      <c r="D14" s="12"/>
      <c r="E14" s="12"/>
      <c r="F14" s="12"/>
      <c r="G14" s="12"/>
      <c r="H14" s="676" t="s">
        <v>43</v>
      </c>
      <c r="I14" s="677"/>
      <c r="J14" s="88"/>
      <c r="K14" s="89"/>
      <c r="L14" s="115"/>
      <c r="M14" s="62"/>
    </row>
    <row r="15" spans="1:16" ht="23.25" customHeight="1" thickBot="1">
      <c r="A15" s="40"/>
      <c r="B15" s="5"/>
      <c r="C15" s="12"/>
      <c r="D15" s="12"/>
      <c r="E15" s="12"/>
      <c r="F15" s="12"/>
      <c r="G15" s="12"/>
      <c r="H15" s="678" t="s">
        <v>20</v>
      </c>
      <c r="I15" s="678"/>
      <c r="J15" s="90">
        <f>SUM(J11:J12)</f>
        <v>20760</v>
      </c>
      <c r="K15" s="91">
        <f>SUM(K11:K12)</f>
        <v>5000</v>
      </c>
      <c r="L15" s="115"/>
      <c r="M15" s="62"/>
    </row>
    <row r="16" spans="1:16" ht="23.25" customHeight="1" thickTop="1">
      <c r="A16" s="40"/>
      <c r="B16" s="5"/>
      <c r="C16" s="12"/>
      <c r="D16" s="12"/>
      <c r="E16" s="12"/>
      <c r="F16" s="12"/>
      <c r="G16" s="12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13">
        <v>0.65</v>
      </c>
      <c r="D17" s="13">
        <v>0.7</v>
      </c>
      <c r="E17" s="13">
        <v>0.75</v>
      </c>
      <c r="F17" s="13">
        <v>0.8</v>
      </c>
      <c r="G17" s="13">
        <v>0.85</v>
      </c>
      <c r="H17" s="663" t="s">
        <v>46</v>
      </c>
      <c r="I17" s="664"/>
      <c r="J17" s="664"/>
      <c r="K17" s="665"/>
      <c r="L17" s="114">
        <f>'[1]6 เดือน'!$L$17</f>
        <v>1</v>
      </c>
      <c r="M17" s="61">
        <f>IF(L17=0,"-",L17*B17/B$94)</f>
        <v>0.05</v>
      </c>
    </row>
    <row r="18" spans="1:13" ht="23.25" customHeight="1">
      <c r="A18" s="40" t="s">
        <v>44</v>
      </c>
      <c r="B18" s="5"/>
      <c r="C18" s="12"/>
      <c r="D18" s="12"/>
      <c r="E18" s="12"/>
      <c r="F18" s="12"/>
      <c r="G18" s="12"/>
      <c r="H18" s="657" t="s">
        <v>47</v>
      </c>
      <c r="I18" s="658"/>
      <c r="J18" s="658"/>
      <c r="K18" s="659"/>
      <c r="L18" s="115"/>
      <c r="M18" s="62"/>
    </row>
    <row r="19" spans="1:13" ht="23.25" customHeight="1">
      <c r="A19" s="44"/>
      <c r="B19" s="5"/>
      <c r="C19" s="12"/>
      <c r="D19" s="12"/>
      <c r="E19" s="12"/>
      <c r="F19" s="12"/>
      <c r="G19" s="12"/>
      <c r="H19" s="657" t="s">
        <v>48</v>
      </c>
      <c r="I19" s="658"/>
      <c r="J19" s="658"/>
      <c r="K19" s="659"/>
      <c r="L19" s="115"/>
      <c r="M19" s="62"/>
    </row>
    <row r="20" spans="1:13" ht="23.25" customHeight="1">
      <c r="A20" s="44"/>
      <c r="B20" s="5"/>
      <c r="C20" s="12"/>
      <c r="D20" s="12"/>
      <c r="E20" s="12"/>
      <c r="F20" s="12"/>
      <c r="G20" s="12"/>
      <c r="H20" s="657" t="s">
        <v>49</v>
      </c>
      <c r="I20" s="658"/>
      <c r="J20" s="658"/>
      <c r="K20" s="659"/>
      <c r="L20" s="115"/>
      <c r="M20" s="62"/>
    </row>
    <row r="21" spans="1:13" ht="23.25" customHeight="1">
      <c r="A21" s="44"/>
      <c r="B21" s="5"/>
      <c r="C21" s="12"/>
      <c r="D21" s="12"/>
      <c r="E21" s="12"/>
      <c r="F21" s="12"/>
      <c r="G21" s="12"/>
      <c r="H21" s="657" t="s">
        <v>50</v>
      </c>
      <c r="I21" s="658"/>
      <c r="J21" s="658"/>
      <c r="K21" s="659"/>
      <c r="L21" s="115"/>
      <c r="M21" s="62"/>
    </row>
    <row r="22" spans="1:13" ht="23.25" customHeight="1">
      <c r="A22" s="44"/>
      <c r="B22" s="5"/>
      <c r="C22" s="12"/>
      <c r="D22" s="12"/>
      <c r="E22" s="12"/>
      <c r="F22" s="12"/>
      <c r="G22" s="12"/>
      <c r="H22" s="95"/>
      <c r="I22" s="51" t="s">
        <v>54</v>
      </c>
      <c r="J22" s="111" t="e">
        <f>'[1]6 เดือน'!$J$22</f>
        <v>#REF!</v>
      </c>
      <c r="K22" s="218" t="s">
        <v>51</v>
      </c>
      <c r="L22" s="115"/>
      <c r="M22" s="62"/>
    </row>
    <row r="23" spans="1:13" ht="23.25" customHeight="1">
      <c r="A23" s="45"/>
      <c r="B23" s="14"/>
      <c r="C23" s="6"/>
      <c r="D23" s="6"/>
      <c r="E23" s="6"/>
      <c r="F23" s="6"/>
      <c r="G23" s="6"/>
      <c r="H23" s="679"/>
      <c r="I23" s="669"/>
      <c r="J23" s="669"/>
      <c r="K23" s="670"/>
      <c r="L23" s="116"/>
      <c r="M23" s="63"/>
    </row>
    <row r="24" spans="1:13" ht="23.25" customHeight="1">
      <c r="A24" s="38" t="s">
        <v>53</v>
      </c>
      <c r="B24" s="109">
        <v>10</v>
      </c>
      <c r="C24" s="13">
        <v>0.73</v>
      </c>
      <c r="D24" s="13">
        <v>0.76</v>
      </c>
      <c r="E24" s="13">
        <v>0.79</v>
      </c>
      <c r="F24" s="13">
        <v>0.82</v>
      </c>
      <c r="G24" s="13">
        <v>0.85</v>
      </c>
      <c r="H24" s="664" t="s">
        <v>82</v>
      </c>
      <c r="I24" s="664"/>
      <c r="J24" s="664"/>
      <c r="K24" s="665"/>
      <c r="L24" s="114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2"/>
      <c r="D25" s="12"/>
      <c r="E25" s="12"/>
      <c r="F25" s="12"/>
      <c r="G25" s="12"/>
      <c r="H25" s="657" t="s">
        <v>83</v>
      </c>
      <c r="I25" s="658"/>
      <c r="J25" s="658"/>
      <c r="K25" s="659"/>
      <c r="L25" s="115"/>
      <c r="M25" s="62"/>
    </row>
    <row r="26" spans="1:13" ht="23.25" customHeight="1">
      <c r="A26" s="46"/>
      <c r="B26" s="5"/>
      <c r="C26" s="12"/>
      <c r="D26" s="12"/>
      <c r="E26" s="12"/>
      <c r="F26" s="12"/>
      <c r="G26" s="12"/>
      <c r="H26" s="657" t="s">
        <v>55</v>
      </c>
      <c r="I26" s="658"/>
      <c r="J26" s="658"/>
      <c r="K26" s="659"/>
      <c r="L26" s="115"/>
      <c r="M26" s="62"/>
    </row>
    <row r="27" spans="1:13" ht="23.25" customHeight="1">
      <c r="A27" s="46"/>
      <c r="B27" s="5"/>
      <c r="C27" s="12"/>
      <c r="D27" s="12"/>
      <c r="E27" s="12"/>
      <c r="F27" s="12"/>
      <c r="G27" s="12"/>
      <c r="H27" s="224"/>
      <c r="I27" s="48" t="s">
        <v>56</v>
      </c>
      <c r="J27" s="111">
        <v>36.14</v>
      </c>
      <c r="K27" s="218" t="s">
        <v>51</v>
      </c>
      <c r="L27" s="115"/>
      <c r="M27" s="62"/>
    </row>
    <row r="28" spans="1:13" ht="23.25" customHeight="1">
      <c r="A28" s="49"/>
      <c r="B28" s="14"/>
      <c r="C28" s="6"/>
      <c r="D28" s="6"/>
      <c r="E28" s="6"/>
      <c r="F28" s="6"/>
      <c r="G28" s="6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5">
        <v>0.92</v>
      </c>
      <c r="D29" s="15">
        <v>0.94</v>
      </c>
      <c r="E29" s="15">
        <v>0.96</v>
      </c>
      <c r="F29" s="15">
        <v>0.98</v>
      </c>
      <c r="G29" s="15">
        <v>1</v>
      </c>
      <c r="H29" s="663" t="s">
        <v>57</v>
      </c>
      <c r="I29" s="664"/>
      <c r="J29" s="664"/>
      <c r="K29" s="665"/>
      <c r="L29" s="114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2"/>
      <c r="D30" s="12"/>
      <c r="E30" s="12"/>
      <c r="F30" s="12"/>
      <c r="G30" s="12"/>
      <c r="H30" s="657" t="s">
        <v>58</v>
      </c>
      <c r="I30" s="658"/>
      <c r="J30" s="658"/>
      <c r="K30" s="659"/>
      <c r="L30" s="115"/>
      <c r="M30" s="62"/>
    </row>
    <row r="31" spans="1:13" ht="24.75" customHeight="1">
      <c r="A31" s="40" t="s">
        <v>24</v>
      </c>
      <c r="B31" s="5"/>
      <c r="C31" s="12"/>
      <c r="D31" s="12"/>
      <c r="E31" s="12"/>
      <c r="F31" s="12"/>
      <c r="G31" s="12"/>
      <c r="H31" s="657" t="s">
        <v>77</v>
      </c>
      <c r="I31" s="658"/>
      <c r="J31" s="658"/>
      <c r="K31" s="659"/>
      <c r="L31" s="115"/>
      <c r="M31" s="62"/>
    </row>
    <row r="32" spans="1:13" ht="24.75" customHeight="1">
      <c r="A32" s="46"/>
      <c r="B32" s="5"/>
      <c r="C32" s="12"/>
      <c r="D32" s="12"/>
      <c r="E32" s="12"/>
      <c r="F32" s="12"/>
      <c r="G32" s="12"/>
      <c r="H32" s="657" t="s">
        <v>59</v>
      </c>
      <c r="I32" s="658"/>
      <c r="J32" s="658"/>
      <c r="K32" s="659"/>
      <c r="L32" s="115"/>
      <c r="M32" s="62"/>
    </row>
    <row r="33" spans="1:13" ht="24.75" customHeight="1">
      <c r="A33" s="46"/>
      <c r="B33" s="5"/>
      <c r="C33" s="12"/>
      <c r="D33" s="12"/>
      <c r="E33" s="12"/>
      <c r="F33" s="12"/>
      <c r="G33" s="12"/>
      <c r="H33" s="217"/>
      <c r="I33" s="48" t="s">
        <v>56</v>
      </c>
      <c r="J33" s="111">
        <v>41.67</v>
      </c>
      <c r="K33" s="218" t="s">
        <v>51</v>
      </c>
      <c r="L33" s="115"/>
      <c r="M33" s="62"/>
    </row>
    <row r="34" spans="1:13" ht="24.75" customHeight="1">
      <c r="A34" s="46"/>
      <c r="B34" s="5"/>
      <c r="C34" s="12"/>
      <c r="D34" s="12"/>
      <c r="E34" s="12"/>
      <c r="F34" s="12"/>
      <c r="G34" s="12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5">
        <v>0.96</v>
      </c>
      <c r="D35" s="15">
        <v>0.97</v>
      </c>
      <c r="E35" s="15">
        <v>0.98</v>
      </c>
      <c r="F35" s="15">
        <v>0.99</v>
      </c>
      <c r="G35" s="15">
        <v>1</v>
      </c>
      <c r="H35" s="663" t="s">
        <v>73</v>
      </c>
      <c r="I35" s="664"/>
      <c r="J35" s="664"/>
      <c r="K35" s="665"/>
      <c r="L35" s="114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2"/>
      <c r="D36" s="12"/>
      <c r="E36" s="12"/>
      <c r="F36" s="12"/>
      <c r="G36" s="12"/>
      <c r="H36" s="671" t="s">
        <v>74</v>
      </c>
      <c r="I36" s="672"/>
      <c r="J36" s="672"/>
      <c r="K36" s="673"/>
      <c r="L36" s="115"/>
      <c r="M36" s="62"/>
    </row>
    <row r="37" spans="1:13" ht="24.75" customHeight="1">
      <c r="A37" s="46"/>
      <c r="B37" s="5"/>
      <c r="C37" s="12"/>
      <c r="D37" s="12"/>
      <c r="E37" s="12"/>
      <c r="F37" s="12"/>
      <c r="G37" s="12"/>
      <c r="H37" s="671" t="s">
        <v>75</v>
      </c>
      <c r="I37" s="672"/>
      <c r="J37" s="672"/>
      <c r="K37" s="673"/>
      <c r="L37" s="115"/>
      <c r="M37" s="62"/>
    </row>
    <row r="38" spans="1:13" ht="24.75" customHeight="1">
      <c r="A38" s="46"/>
      <c r="B38" s="5"/>
      <c r="C38" s="12"/>
      <c r="D38" s="12"/>
      <c r="E38" s="12"/>
      <c r="F38" s="12"/>
      <c r="G38" s="12"/>
      <c r="H38" s="671" t="s">
        <v>76</v>
      </c>
      <c r="I38" s="674"/>
      <c r="J38" s="674"/>
      <c r="K38" s="675"/>
      <c r="L38" s="115"/>
      <c r="M38" s="62"/>
    </row>
    <row r="39" spans="1:13" ht="24.75" customHeight="1">
      <c r="A39" s="46"/>
      <c r="B39" s="5"/>
      <c r="C39" s="12"/>
      <c r="D39" s="12"/>
      <c r="E39" s="12"/>
      <c r="F39" s="12"/>
      <c r="G39" s="12"/>
      <c r="H39" s="217"/>
      <c r="I39" s="48" t="s">
        <v>56</v>
      </c>
      <c r="J39" s="111">
        <v>73</v>
      </c>
      <c r="K39" s="218" t="s">
        <v>51</v>
      </c>
      <c r="L39" s="115"/>
      <c r="M39" s="62"/>
    </row>
    <row r="40" spans="1:13" ht="24.75" customHeight="1">
      <c r="A40" s="49"/>
      <c r="B40" s="14"/>
      <c r="C40" s="6"/>
      <c r="D40" s="6"/>
      <c r="E40" s="6"/>
      <c r="F40" s="6"/>
      <c r="G40" s="6"/>
      <c r="H40" s="96"/>
      <c r="I40" s="222"/>
      <c r="J40" s="222"/>
      <c r="K40" s="223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663" t="s">
        <v>62</v>
      </c>
      <c r="I41" s="664"/>
      <c r="J41" s="664"/>
      <c r="K41" s="665"/>
      <c r="L41" s="114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657" t="s">
        <v>63</v>
      </c>
      <c r="I42" s="658"/>
      <c r="J42" s="658"/>
      <c r="K42" s="659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657" t="s">
        <v>64</v>
      </c>
      <c r="I43" s="658"/>
      <c r="J43" s="658"/>
      <c r="K43" s="659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224" t="s">
        <v>65</v>
      </c>
      <c r="I44" s="51"/>
      <c r="J44" s="92"/>
      <c r="K44" s="225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224"/>
      <c r="I45" s="51" t="s">
        <v>66</v>
      </c>
      <c r="J45" s="227">
        <v>104</v>
      </c>
      <c r="K45" s="225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224"/>
      <c r="I46" s="51" t="s">
        <v>67</v>
      </c>
      <c r="J46" s="111">
        <v>0</v>
      </c>
      <c r="K46" s="225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217"/>
      <c r="I47" s="48" t="s">
        <v>81</v>
      </c>
      <c r="J47" s="111">
        <v>0</v>
      </c>
      <c r="K47" s="218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666"/>
      <c r="I48" s="669"/>
      <c r="J48" s="669"/>
      <c r="K48" s="670"/>
      <c r="L48" s="115"/>
      <c r="M48" s="62"/>
    </row>
    <row r="49" spans="1:13" ht="24.75" customHeight="1">
      <c r="A49" s="38" t="s">
        <v>68</v>
      </c>
      <c r="B49" s="109">
        <v>5</v>
      </c>
      <c r="C49" s="15">
        <v>0.5</v>
      </c>
      <c r="D49" s="15">
        <v>0.75</v>
      </c>
      <c r="E49" s="15">
        <v>1</v>
      </c>
      <c r="F49" s="15">
        <v>1</v>
      </c>
      <c r="G49" s="15">
        <v>1</v>
      </c>
      <c r="H49" s="663" t="s">
        <v>78</v>
      </c>
      <c r="I49" s="664"/>
      <c r="J49" s="664"/>
      <c r="K49" s="665"/>
      <c r="L49" s="114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18"/>
      <c r="D50" s="18"/>
      <c r="E50" s="18"/>
      <c r="F50" s="18" t="s">
        <v>70</v>
      </c>
      <c r="G50" s="18" t="s">
        <v>70</v>
      </c>
      <c r="H50" s="658" t="s">
        <v>79</v>
      </c>
      <c r="I50" s="658"/>
      <c r="J50" s="658"/>
      <c r="K50" s="659"/>
      <c r="L50" s="115"/>
      <c r="M50" s="62"/>
    </row>
    <row r="51" spans="1:13" ht="24.75" customHeight="1">
      <c r="A51" s="40"/>
      <c r="B51" s="3"/>
      <c r="C51" s="18"/>
      <c r="D51" s="18"/>
      <c r="E51" s="18"/>
      <c r="F51" s="18" t="s">
        <v>71</v>
      </c>
      <c r="G51" s="18" t="s">
        <v>72</v>
      </c>
      <c r="H51" s="658" t="s">
        <v>80</v>
      </c>
      <c r="I51" s="658"/>
      <c r="J51" s="658"/>
      <c r="K51" s="659"/>
      <c r="L51" s="115"/>
      <c r="M51" s="62"/>
    </row>
    <row r="52" spans="1:13" ht="24.75" customHeight="1">
      <c r="A52" s="40"/>
      <c r="B52" s="3"/>
      <c r="C52" s="19"/>
      <c r="D52" s="19"/>
      <c r="E52" s="19"/>
      <c r="F52" s="19"/>
      <c r="G52" s="19"/>
      <c r="H52" s="217"/>
      <c r="I52" s="48" t="s">
        <v>56</v>
      </c>
      <c r="J52" s="111">
        <v>0</v>
      </c>
      <c r="K52" s="218" t="s">
        <v>51</v>
      </c>
      <c r="L52" s="115"/>
      <c r="M52" s="62"/>
    </row>
    <row r="53" spans="1:13" ht="25.5">
      <c r="A53" s="50"/>
      <c r="B53" s="14"/>
      <c r="C53" s="6"/>
      <c r="D53" s="6"/>
      <c r="E53" s="6"/>
      <c r="F53" s="6"/>
      <c r="G53" s="6"/>
      <c r="H53" s="666"/>
      <c r="I53" s="667"/>
      <c r="J53" s="667"/>
      <c r="K53" s="668"/>
      <c r="L53" s="116"/>
      <c r="M53" s="63"/>
    </row>
    <row r="54" spans="1:13" ht="24.75" customHeight="1">
      <c r="A54" s="38" t="s">
        <v>84</v>
      </c>
      <c r="B54" s="109">
        <v>10</v>
      </c>
      <c r="C54" s="15">
        <v>0.78</v>
      </c>
      <c r="D54" s="15">
        <v>0.81</v>
      </c>
      <c r="E54" s="15">
        <v>0.84</v>
      </c>
      <c r="F54" s="15">
        <v>0.87</v>
      </c>
      <c r="G54" s="15">
        <v>0.9</v>
      </c>
      <c r="H54" s="663" t="s">
        <v>99</v>
      </c>
      <c r="I54" s="664"/>
      <c r="J54" s="664"/>
      <c r="K54" s="665"/>
      <c r="L54" s="114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657" t="s">
        <v>100</v>
      </c>
      <c r="I55" s="658"/>
      <c r="J55" s="658"/>
      <c r="K55" s="659"/>
      <c r="L55" s="115"/>
      <c r="M55" s="62"/>
    </row>
    <row r="56" spans="1:13" ht="24.75" customHeight="1">
      <c r="A56" s="46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4405.8900000000003</v>
      </c>
      <c r="K56" s="218" t="s">
        <v>34</v>
      </c>
      <c r="L56" s="115"/>
      <c r="M56" s="62"/>
    </row>
    <row r="57" spans="1:13" ht="24.75" customHeight="1">
      <c r="A57" s="46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2123.63</v>
      </c>
      <c r="K57" s="218" t="s">
        <v>34</v>
      </c>
      <c r="L57" s="115"/>
      <c r="M57" s="62"/>
    </row>
    <row r="58" spans="1:13" ht="24.75" customHeight="1">
      <c r="A58" s="46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48.199796181929187</v>
      </c>
      <c r="K58" s="218" t="s">
        <v>51</v>
      </c>
      <c r="L58" s="115"/>
      <c r="M58" s="62"/>
    </row>
    <row r="59" spans="1:13" ht="27.75" customHeight="1">
      <c r="A59" s="49"/>
      <c r="B59" s="14"/>
      <c r="C59" s="20"/>
      <c r="D59" s="20"/>
      <c r="E59" s="20"/>
      <c r="F59" s="20"/>
      <c r="G59" s="20"/>
      <c r="H59" s="102"/>
      <c r="I59" s="222"/>
      <c r="J59" s="103"/>
      <c r="K59" s="223"/>
      <c r="L59" s="116"/>
      <c r="M59" s="63"/>
    </row>
    <row r="60" spans="1:13" ht="24.75" customHeight="1">
      <c r="A60" s="38" t="s">
        <v>89</v>
      </c>
      <c r="B60" s="109">
        <v>5</v>
      </c>
      <c r="C60" s="15">
        <v>0.6</v>
      </c>
      <c r="D60" s="15">
        <v>0.65</v>
      </c>
      <c r="E60" s="15">
        <v>0.7</v>
      </c>
      <c r="F60" s="15">
        <v>0.75</v>
      </c>
      <c r="G60" s="15">
        <v>0.8</v>
      </c>
      <c r="H60" s="663" t="s">
        <v>92</v>
      </c>
      <c r="I60" s="664"/>
      <c r="J60" s="664"/>
      <c r="K60" s="665"/>
      <c r="L60" s="114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1"/>
      <c r="D61" s="21"/>
      <c r="E61" s="21"/>
      <c r="F61" s="21"/>
      <c r="G61" s="21"/>
      <c r="H61" s="657" t="s">
        <v>93</v>
      </c>
      <c r="I61" s="658"/>
      <c r="J61" s="658"/>
      <c r="K61" s="659"/>
      <c r="L61" s="115"/>
      <c r="M61" s="62"/>
    </row>
    <row r="62" spans="1:13" ht="24.75" customHeight="1">
      <c r="A62" s="40" t="s">
        <v>91</v>
      </c>
      <c r="B62" s="5"/>
      <c r="C62" s="12"/>
      <c r="D62" s="12"/>
      <c r="E62" s="12"/>
      <c r="F62" s="12"/>
      <c r="G62" s="12"/>
      <c r="H62" s="657" t="s">
        <v>94</v>
      </c>
      <c r="I62" s="658"/>
      <c r="J62" s="658"/>
      <c r="K62" s="659"/>
      <c r="L62" s="115"/>
      <c r="M62" s="62"/>
    </row>
    <row r="63" spans="1:13" ht="24.75" customHeight="1">
      <c r="A63" s="40"/>
      <c r="B63" s="5"/>
      <c r="C63" s="12"/>
      <c r="D63" s="12"/>
      <c r="E63" s="12"/>
      <c r="F63" s="12"/>
      <c r="G63" s="12"/>
      <c r="H63" s="217" t="s">
        <v>95</v>
      </c>
      <c r="I63" s="220"/>
      <c r="J63" s="220"/>
      <c r="K63" s="218"/>
      <c r="L63" s="115"/>
      <c r="M63" s="62"/>
    </row>
    <row r="64" spans="1:13" ht="24.75" customHeight="1">
      <c r="A64" s="40"/>
      <c r="B64" s="5"/>
      <c r="C64" s="12"/>
      <c r="D64" s="12"/>
      <c r="E64" s="12"/>
      <c r="F64" s="12"/>
      <c r="G64" s="12"/>
      <c r="H64" s="224"/>
      <c r="I64" s="51" t="s">
        <v>97</v>
      </c>
      <c r="J64" s="111">
        <v>0</v>
      </c>
      <c r="K64" s="225" t="s">
        <v>96</v>
      </c>
      <c r="L64" s="115"/>
      <c r="M64" s="62"/>
    </row>
    <row r="65" spans="1:32" ht="24.75" customHeight="1">
      <c r="A65" s="46"/>
      <c r="B65" s="5"/>
      <c r="C65" s="12"/>
      <c r="D65" s="12"/>
      <c r="E65" s="12"/>
      <c r="F65" s="12"/>
      <c r="G65" s="12"/>
      <c r="H65" s="224"/>
      <c r="I65" s="51" t="s">
        <v>98</v>
      </c>
      <c r="J65" s="111">
        <v>0</v>
      </c>
      <c r="K65" s="225" t="s">
        <v>96</v>
      </c>
      <c r="L65" s="115"/>
      <c r="M65" s="62"/>
    </row>
    <row r="66" spans="1:32" ht="24.75" customHeight="1">
      <c r="A66" s="46"/>
      <c r="B66" s="5"/>
      <c r="C66" s="12"/>
      <c r="D66" s="12"/>
      <c r="E66" s="12"/>
      <c r="F66" s="12"/>
      <c r="G66" s="12"/>
      <c r="H66" s="217"/>
      <c r="I66" s="51" t="s">
        <v>35</v>
      </c>
      <c r="J66" s="111">
        <v>0</v>
      </c>
      <c r="K66" s="218" t="s">
        <v>51</v>
      </c>
      <c r="L66" s="115"/>
      <c r="M66" s="62"/>
    </row>
    <row r="67" spans="1:32" ht="24.75" customHeight="1">
      <c r="A67" s="46"/>
      <c r="B67" s="5"/>
      <c r="C67" s="12"/>
      <c r="D67" s="12"/>
      <c r="E67" s="12"/>
      <c r="F67" s="12"/>
      <c r="G67" s="12"/>
      <c r="H67" s="48"/>
      <c r="I67" s="104"/>
      <c r="J67" s="104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663" t="s">
        <v>103</v>
      </c>
      <c r="I68" s="664"/>
      <c r="J68" s="664"/>
      <c r="K68" s="665"/>
      <c r="L68" s="114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657" t="s">
        <v>104</v>
      </c>
      <c r="I69" s="658"/>
      <c r="J69" s="658"/>
      <c r="K69" s="659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657" t="s">
        <v>105</v>
      </c>
      <c r="I70" s="658"/>
      <c r="J70" s="658"/>
      <c r="K70" s="659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18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63" t="s">
        <v>108</v>
      </c>
      <c r="I73" s="664"/>
      <c r="J73" s="664"/>
      <c r="K73" s="665"/>
      <c r="L73" s="114">
        <f>'[1]6 เดือน'!$L$73</f>
        <v>1</v>
      </c>
      <c r="M73" s="61">
        <f>IF(L73=0,"-",L73*B73/B$94)</f>
        <v>0.05</v>
      </c>
      <c r="P73" s="1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57" t="s">
        <v>109</v>
      </c>
      <c r="I74" s="658"/>
      <c r="J74" s="658"/>
      <c r="K74" s="659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657" t="s">
        <v>110</v>
      </c>
      <c r="I75" s="658"/>
      <c r="J75" s="658"/>
      <c r="K75" s="659"/>
      <c r="L75" s="115"/>
      <c r="M75" s="62"/>
      <c r="P75" s="52"/>
      <c r="Q75" s="52"/>
    </row>
    <row r="76" spans="1:32" ht="24.75" customHeight="1">
      <c r="A76" s="40"/>
      <c r="B76" s="5"/>
      <c r="C76" s="23"/>
      <c r="D76" s="23"/>
      <c r="E76" s="23"/>
      <c r="F76" s="23"/>
      <c r="G76" s="23"/>
      <c r="H76" s="657" t="s">
        <v>111</v>
      </c>
      <c r="I76" s="658"/>
      <c r="J76" s="658"/>
      <c r="K76" s="659"/>
      <c r="L76" s="115"/>
      <c r="M76" s="62"/>
      <c r="P76" s="52"/>
      <c r="Q76" s="52"/>
    </row>
    <row r="77" spans="1:32" ht="24.75" customHeight="1">
      <c r="A77" s="40"/>
      <c r="B77" s="5"/>
      <c r="C77" s="23"/>
      <c r="D77" s="23"/>
      <c r="E77" s="23"/>
      <c r="F77" s="23"/>
      <c r="G77" s="23"/>
      <c r="H77" s="217"/>
      <c r="I77" s="51" t="s">
        <v>112</v>
      </c>
      <c r="J77" s="111">
        <v>0</v>
      </c>
      <c r="K77" s="225"/>
      <c r="L77" s="115"/>
      <c r="M77" s="62"/>
      <c r="P77" s="53"/>
      <c r="Q77" s="53"/>
      <c r="R77" s="5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222"/>
      <c r="J78" s="222"/>
      <c r="K78" s="223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663" t="s">
        <v>123</v>
      </c>
      <c r="I79" s="664"/>
      <c r="J79" s="664"/>
      <c r="K79" s="665"/>
      <c r="L79" s="114">
        <f>'[2]8 เดือน'!$L$79</f>
        <v>4.4251336898395728</v>
      </c>
      <c r="M79" s="61">
        <f>IF(L79=0,"-",L79*B79/B$94)</f>
        <v>0.22125668449197863</v>
      </c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217" t="s">
        <v>124</v>
      </c>
      <c r="I80" s="92"/>
      <c r="J80" s="108"/>
      <c r="K80" s="105"/>
      <c r="L80" s="117"/>
      <c r="M80" s="62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</row>
    <row r="81" spans="1:32" ht="24.75" customHeight="1">
      <c r="A81" s="56"/>
      <c r="B81" s="27"/>
      <c r="C81" s="17"/>
      <c r="D81" s="17"/>
      <c r="E81" s="17"/>
      <c r="F81" s="17"/>
      <c r="G81" s="17"/>
      <c r="H81" s="220" t="s">
        <v>125</v>
      </c>
      <c r="I81" s="92"/>
      <c r="J81" s="108"/>
      <c r="K81" s="105"/>
      <c r="L81" s="117"/>
      <c r="M81" s="62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</row>
    <row r="82" spans="1:32" ht="24.75" customHeight="1">
      <c r="A82" s="56"/>
      <c r="B82" s="27"/>
      <c r="C82" s="17"/>
      <c r="D82" s="17"/>
      <c r="E82" s="17"/>
      <c r="F82" s="17"/>
      <c r="G82" s="17"/>
      <c r="H82" s="217" t="s">
        <v>126</v>
      </c>
      <c r="I82" s="92"/>
      <c r="J82" s="108"/>
      <c r="K82" s="105"/>
      <c r="L82" s="117"/>
      <c r="M82" s="62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</row>
    <row r="83" spans="1:32" ht="24.75" customHeight="1">
      <c r="A83" s="56"/>
      <c r="B83" s="27"/>
      <c r="C83" s="17"/>
      <c r="D83" s="17"/>
      <c r="E83" s="17"/>
      <c r="F83" s="17"/>
      <c r="G83" s="17"/>
      <c r="H83" s="217" t="s">
        <v>127</v>
      </c>
      <c r="I83" s="92"/>
      <c r="J83" s="108"/>
      <c r="K83" s="105"/>
      <c r="L83" s="117"/>
      <c r="M83" s="62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</row>
    <row r="84" spans="1:32" ht="24.75" customHeight="1">
      <c r="A84" s="56"/>
      <c r="B84" s="27"/>
      <c r="C84" s="17"/>
      <c r="D84" s="17"/>
      <c r="E84" s="17"/>
      <c r="F84" s="17"/>
      <c r="G84" s="17"/>
      <c r="H84" s="217"/>
      <c r="I84" s="51" t="s">
        <v>114</v>
      </c>
      <c r="J84" s="226">
        <f>'[2]8 เดือน'!$L$79</f>
        <v>4.4251336898395728</v>
      </c>
      <c r="K84" s="225"/>
      <c r="L84" s="117"/>
      <c r="M84" s="62"/>
      <c r="O84" s="58"/>
      <c r="P84" s="58"/>
      <c r="Q84" s="58"/>
      <c r="R84" s="58"/>
      <c r="S84" s="58"/>
      <c r="T84" s="58"/>
      <c r="U84" s="58"/>
      <c r="V84" s="59"/>
      <c r="W84" s="58"/>
      <c r="X84" s="58"/>
      <c r="Y84" s="58"/>
      <c r="Z84" s="58"/>
      <c r="AA84" s="58"/>
      <c r="AB84" s="58"/>
      <c r="AC84" s="58"/>
      <c r="AD84" s="58"/>
      <c r="AE84" s="58"/>
      <c r="AF84" s="58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222"/>
      <c r="J85" s="222"/>
      <c r="K85" s="223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663" t="s">
        <v>117</v>
      </c>
      <c r="I86" s="664"/>
      <c r="J86" s="664"/>
      <c r="K86" s="665"/>
      <c r="L86" s="114">
        <v>3.5714000000000001</v>
      </c>
      <c r="M86" s="61">
        <f>IF(L86=0,"-",L86*B86/B$94)</f>
        <v>0.17857000000000001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657" t="s">
        <v>118</v>
      </c>
      <c r="I87" s="658"/>
      <c r="J87" s="658"/>
      <c r="K87" s="659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657" t="s">
        <v>119</v>
      </c>
      <c r="I88" s="658"/>
      <c r="J88" s="658"/>
      <c r="K88" s="659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217" t="s">
        <v>120</v>
      </c>
      <c r="I89" s="220"/>
      <c r="J89" s="220"/>
      <c r="K89" s="218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217" t="s">
        <v>121</v>
      </c>
      <c r="I90" s="220"/>
      <c r="J90" s="220"/>
      <c r="K90" s="218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v>92.86</v>
      </c>
      <c r="K91" s="218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660" t="s">
        <v>129</v>
      </c>
      <c r="B93" s="661"/>
      <c r="C93" s="661"/>
      <c r="D93" s="661"/>
      <c r="E93" s="661"/>
      <c r="F93" s="661"/>
      <c r="G93" s="661"/>
      <c r="H93" s="661"/>
      <c r="I93" s="661"/>
      <c r="J93" s="661"/>
      <c r="K93" s="661"/>
      <c r="L93" s="662"/>
      <c r="M93" s="67">
        <f>SUM(M86,M79,M73,M68,M60,M54,M49,M41,M35,M29,M24,M17,M9,M6)</f>
        <v>1.444826684491979</v>
      </c>
    </row>
    <row r="94" spans="1:32">
      <c r="B94" s="82">
        <f>SUM(B6:B92)</f>
        <v>100</v>
      </c>
    </row>
  </sheetData>
  <mergeCells count="53"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9:I10"/>
    <mergeCell ref="J9:K9"/>
    <mergeCell ref="A1:M1"/>
    <mergeCell ref="A2:M2"/>
    <mergeCell ref="C4:G4"/>
    <mergeCell ref="H4:K5"/>
    <mergeCell ref="L4:L5"/>
  </mergeCells>
  <printOptions horizontalCentered="1"/>
  <pageMargins left="0.19685039370078741" right="0.19685039370078741" top="0.55118110236220474" bottom="0.27559055118110237" header="0.19685039370078741" footer="0.47244094488188981"/>
  <pageSetup paperSize="9" scale="80" orientation="landscape" r:id="rId1"/>
  <headerFooter scaleWithDoc="0">
    <oddHeader>&amp;R&amp;"TH SarabunIT๙,ธรรมดา"&amp;16&amp;P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F94"/>
  <sheetViews>
    <sheetView topLeftCell="A43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>
      <c r="A1" s="695" t="s">
        <v>0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</row>
    <row r="2" spans="1:16" ht="27.75">
      <c r="A2" s="695" t="s">
        <v>45</v>
      </c>
      <c r="B2" s="696"/>
      <c r="C2" s="696"/>
      <c r="D2" s="696"/>
      <c r="E2" s="696"/>
      <c r="F2" s="696"/>
      <c r="G2" s="696"/>
      <c r="H2" s="696"/>
      <c r="I2" s="696"/>
      <c r="J2" s="696"/>
      <c r="K2" s="696"/>
      <c r="L2" s="696"/>
      <c r="M2" s="696"/>
    </row>
    <row r="3" spans="1:16" ht="26.25" customHeight="1">
      <c r="A3" s="247" t="s">
        <v>134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>
      <c r="A4" s="26" t="s">
        <v>1</v>
      </c>
      <c r="B4" s="26" t="s">
        <v>2</v>
      </c>
      <c r="C4" s="697" t="s">
        <v>3</v>
      </c>
      <c r="D4" s="697"/>
      <c r="E4" s="697"/>
      <c r="F4" s="697"/>
      <c r="G4" s="697"/>
      <c r="H4" s="698" t="s">
        <v>4</v>
      </c>
      <c r="I4" s="699"/>
      <c r="J4" s="699"/>
      <c r="K4" s="700"/>
      <c r="L4" s="704" t="s">
        <v>5</v>
      </c>
      <c r="M4" s="250" t="s">
        <v>6</v>
      </c>
    </row>
    <row r="5" spans="1:16" s="251" customFormat="1" ht="24.75" customHeight="1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701"/>
      <c r="I5" s="702"/>
      <c r="J5" s="702"/>
      <c r="K5" s="703"/>
      <c r="L5" s="704"/>
      <c r="M5" s="253" t="s">
        <v>9</v>
      </c>
    </row>
    <row r="6" spans="1:16" ht="23.25" customHeight="1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31" t="s">
        <v>128</v>
      </c>
      <c r="I6" s="68"/>
      <c r="J6" s="68"/>
      <c r="K6" s="69"/>
      <c r="L6" s="243">
        <f>[3]กส8!$L$6</f>
        <v>2.6640000000000001</v>
      </c>
      <c r="M6" s="61">
        <f>IF(L6=0,"-",L6*B6/B$94)</f>
        <v>0.26640000000000003</v>
      </c>
    </row>
    <row r="7" spans="1:16" ht="23.25" customHeight="1">
      <c r="A7" s="39" t="s">
        <v>12</v>
      </c>
      <c r="B7" s="3"/>
      <c r="C7" s="244"/>
      <c r="D7" s="244"/>
      <c r="E7" s="244"/>
      <c r="F7" s="244"/>
      <c r="G7" s="244"/>
      <c r="H7" s="229" t="s">
        <v>40</v>
      </c>
      <c r="I7" s="70"/>
      <c r="J7" s="245">
        <f>[3]กส8!$J$7</f>
        <v>76.643000000000001</v>
      </c>
      <c r="K7" s="71" t="s">
        <v>51</v>
      </c>
      <c r="L7" s="115"/>
      <c r="M7" s="62"/>
    </row>
    <row r="8" spans="1:16" ht="23.25" customHeight="1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680" t="s">
        <v>14</v>
      </c>
      <c r="I9" s="681"/>
      <c r="J9" s="682" t="s">
        <v>15</v>
      </c>
      <c r="K9" s="682"/>
      <c r="L9" s="243">
        <v>1</v>
      </c>
      <c r="M9" s="61">
        <f>IF(L9=0,"-",L9*B9/B$94)</f>
        <v>0.1</v>
      </c>
      <c r="O9" s="254"/>
      <c r="P9" s="255"/>
    </row>
    <row r="10" spans="1:16" ht="23.25" customHeight="1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680"/>
      <c r="I10" s="681"/>
      <c r="J10" s="237" t="s">
        <v>17</v>
      </c>
      <c r="K10" s="237" t="s">
        <v>18</v>
      </c>
      <c r="L10" s="115"/>
      <c r="M10" s="62"/>
      <c r="O10" s="254"/>
      <c r="P10" s="257"/>
    </row>
    <row r="11" spans="1:16" ht="23.25" customHeight="1">
      <c r="A11" s="40"/>
      <c r="B11" s="3"/>
      <c r="C11" s="258"/>
      <c r="D11" s="258"/>
      <c r="E11" s="258"/>
      <c r="F11" s="258"/>
      <c r="G11" s="258"/>
      <c r="H11" s="683" t="s">
        <v>19</v>
      </c>
      <c r="I11" s="684"/>
      <c r="J11" s="73">
        <v>19000</v>
      </c>
      <c r="K11" s="64">
        <f>[4]กส14!$K$11</f>
        <v>10000</v>
      </c>
      <c r="L11" s="115"/>
      <c r="M11" s="62"/>
    </row>
    <row r="12" spans="1:16" ht="23.25" customHeight="1">
      <c r="A12" s="40"/>
      <c r="B12" s="5"/>
      <c r="C12" s="259"/>
      <c r="D12" s="17"/>
      <c r="E12" s="17"/>
      <c r="F12" s="17"/>
      <c r="G12" s="17"/>
      <c r="H12" s="231" t="s">
        <v>41</v>
      </c>
      <c r="I12" s="232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7"/>
      <c r="D13" s="17"/>
      <c r="E13" s="17"/>
      <c r="F13" s="17"/>
      <c r="G13" s="17"/>
      <c r="H13" s="657" t="s">
        <v>42</v>
      </c>
      <c r="I13" s="659"/>
      <c r="J13" s="86"/>
      <c r="K13" s="87"/>
      <c r="L13" s="115"/>
      <c r="M13" s="62"/>
    </row>
    <row r="14" spans="1:16" ht="23.25" customHeight="1">
      <c r="A14" s="40"/>
      <c r="B14" s="5"/>
      <c r="C14" s="17"/>
      <c r="D14" s="17"/>
      <c r="E14" s="17"/>
      <c r="F14" s="17"/>
      <c r="G14" s="17"/>
      <c r="H14" s="676" t="s">
        <v>43</v>
      </c>
      <c r="I14" s="677"/>
      <c r="J14" s="88"/>
      <c r="K14" s="89"/>
      <c r="L14" s="115"/>
      <c r="M14" s="62"/>
    </row>
    <row r="15" spans="1:16" ht="23.25" customHeight="1" thickBot="1">
      <c r="A15" s="40"/>
      <c r="B15" s="5"/>
      <c r="C15" s="17"/>
      <c r="D15" s="17"/>
      <c r="E15" s="17"/>
      <c r="F15" s="17"/>
      <c r="G15" s="17"/>
      <c r="H15" s="678" t="s">
        <v>20</v>
      </c>
      <c r="I15" s="678"/>
      <c r="J15" s="90">
        <f>SUM(J11:J12)</f>
        <v>20760</v>
      </c>
      <c r="K15" s="91">
        <f>SUM(K11:K12)</f>
        <v>10000</v>
      </c>
      <c r="L15" s="115"/>
      <c r="M15" s="62"/>
    </row>
    <row r="16" spans="1:16" ht="23.25" customHeight="1" thickTop="1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663" t="s">
        <v>46</v>
      </c>
      <c r="I17" s="664"/>
      <c r="J17" s="664"/>
      <c r="K17" s="665"/>
      <c r="L17" s="243">
        <f>'[1]6 เดือน'!$L$17</f>
        <v>1</v>
      </c>
      <c r="M17" s="61">
        <f>IF(L17=0,"-",L17*B17/B$94)</f>
        <v>0.05</v>
      </c>
    </row>
    <row r="18" spans="1:13" ht="23.25" customHeight="1">
      <c r="A18" s="40" t="s">
        <v>44</v>
      </c>
      <c r="B18" s="5"/>
      <c r="C18" s="17"/>
      <c r="D18" s="17"/>
      <c r="E18" s="17"/>
      <c r="F18" s="17"/>
      <c r="G18" s="17"/>
      <c r="H18" s="657" t="s">
        <v>47</v>
      </c>
      <c r="I18" s="658"/>
      <c r="J18" s="658"/>
      <c r="K18" s="659"/>
      <c r="L18" s="115"/>
      <c r="M18" s="62"/>
    </row>
    <row r="19" spans="1:13" ht="23.25" customHeight="1">
      <c r="A19" s="40"/>
      <c r="B19" s="5"/>
      <c r="C19" s="17"/>
      <c r="D19" s="17"/>
      <c r="E19" s="17"/>
      <c r="F19" s="17"/>
      <c r="G19" s="17"/>
      <c r="H19" s="657" t="s">
        <v>48</v>
      </c>
      <c r="I19" s="658"/>
      <c r="J19" s="658"/>
      <c r="K19" s="659"/>
      <c r="L19" s="115"/>
      <c r="M19" s="62"/>
    </row>
    <row r="20" spans="1:13" ht="23.25" customHeight="1">
      <c r="A20" s="40"/>
      <c r="B20" s="5"/>
      <c r="C20" s="17"/>
      <c r="D20" s="17"/>
      <c r="E20" s="17"/>
      <c r="F20" s="17"/>
      <c r="G20" s="17"/>
      <c r="H20" s="657" t="s">
        <v>49</v>
      </c>
      <c r="I20" s="658"/>
      <c r="J20" s="658"/>
      <c r="K20" s="659"/>
      <c r="L20" s="115"/>
      <c r="M20" s="62"/>
    </row>
    <row r="21" spans="1:13" ht="23.25" customHeight="1">
      <c r="A21" s="40"/>
      <c r="B21" s="5"/>
      <c r="C21" s="17"/>
      <c r="D21" s="17"/>
      <c r="E21" s="17"/>
      <c r="F21" s="17"/>
      <c r="G21" s="17"/>
      <c r="H21" s="657" t="s">
        <v>50</v>
      </c>
      <c r="I21" s="658"/>
      <c r="J21" s="658"/>
      <c r="K21" s="659"/>
      <c r="L21" s="115"/>
      <c r="M21" s="62"/>
    </row>
    <row r="22" spans="1:13" ht="23.25" customHeight="1">
      <c r="A22" s="40"/>
      <c r="B22" s="5"/>
      <c r="C22" s="17"/>
      <c r="D22" s="17"/>
      <c r="E22" s="17"/>
      <c r="F22" s="17"/>
      <c r="G22" s="17"/>
      <c r="I22" s="51" t="s">
        <v>54</v>
      </c>
      <c r="J22" s="111" t="e">
        <f>'[1]6 เดือน'!$J$22</f>
        <v>#REF!</v>
      </c>
      <c r="K22" s="230" t="s">
        <v>51</v>
      </c>
      <c r="L22" s="115"/>
      <c r="M22" s="62"/>
    </row>
    <row r="23" spans="1:13" ht="23.25" customHeight="1">
      <c r="A23" s="50"/>
      <c r="B23" s="14"/>
      <c r="C23" s="20"/>
      <c r="D23" s="20"/>
      <c r="E23" s="20"/>
      <c r="F23" s="20"/>
      <c r="G23" s="20"/>
      <c r="H23" s="679"/>
      <c r="I23" s="669"/>
      <c r="J23" s="669"/>
      <c r="K23" s="670"/>
      <c r="L23" s="116"/>
      <c r="M23" s="63"/>
    </row>
    <row r="24" spans="1:13" ht="23.25" customHeight="1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664" t="s">
        <v>82</v>
      </c>
      <c r="I24" s="664"/>
      <c r="J24" s="664"/>
      <c r="K24" s="665"/>
      <c r="L24" s="243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7"/>
      <c r="D25" s="17"/>
      <c r="E25" s="17"/>
      <c r="F25" s="17"/>
      <c r="G25" s="17"/>
      <c r="H25" s="657" t="s">
        <v>83</v>
      </c>
      <c r="I25" s="658"/>
      <c r="J25" s="658"/>
      <c r="K25" s="659"/>
      <c r="L25" s="115"/>
      <c r="M25" s="62"/>
    </row>
    <row r="26" spans="1:13" ht="23.25" customHeight="1">
      <c r="A26" s="40"/>
      <c r="B26" s="5"/>
      <c r="C26" s="17"/>
      <c r="D26" s="17"/>
      <c r="E26" s="17"/>
      <c r="F26" s="17"/>
      <c r="G26" s="17"/>
      <c r="H26" s="657" t="s">
        <v>55</v>
      </c>
      <c r="I26" s="658"/>
      <c r="J26" s="658"/>
      <c r="K26" s="659"/>
      <c r="L26" s="115"/>
      <c r="M26" s="62"/>
    </row>
    <row r="27" spans="1:13" ht="23.25" customHeight="1">
      <c r="A27" s="40"/>
      <c r="B27" s="5"/>
      <c r="C27" s="17"/>
      <c r="D27" s="17"/>
      <c r="E27" s="17"/>
      <c r="F27" s="17"/>
      <c r="G27" s="17"/>
      <c r="H27" s="235"/>
      <c r="I27" s="48" t="s">
        <v>56</v>
      </c>
      <c r="J27" s="111">
        <v>40.46</v>
      </c>
      <c r="K27" s="230" t="s">
        <v>51</v>
      </c>
      <c r="L27" s="115"/>
      <c r="M27" s="62"/>
    </row>
    <row r="28" spans="1:13" ht="23.25" customHeight="1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663" t="s">
        <v>57</v>
      </c>
      <c r="I29" s="664"/>
      <c r="J29" s="664"/>
      <c r="K29" s="665"/>
      <c r="L29" s="243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7"/>
      <c r="D30" s="17"/>
      <c r="E30" s="17"/>
      <c r="F30" s="17"/>
      <c r="G30" s="17"/>
      <c r="H30" s="657" t="s">
        <v>58</v>
      </c>
      <c r="I30" s="658"/>
      <c r="J30" s="658"/>
      <c r="K30" s="659"/>
      <c r="L30" s="115"/>
      <c r="M30" s="62"/>
    </row>
    <row r="31" spans="1:13" ht="24.75" customHeight="1">
      <c r="A31" s="40" t="s">
        <v>24</v>
      </c>
      <c r="B31" s="5"/>
      <c r="C31" s="17"/>
      <c r="D31" s="17"/>
      <c r="E31" s="17"/>
      <c r="F31" s="17"/>
      <c r="G31" s="17"/>
      <c r="H31" s="657" t="s">
        <v>77</v>
      </c>
      <c r="I31" s="658"/>
      <c r="J31" s="658"/>
      <c r="K31" s="659"/>
      <c r="L31" s="115"/>
      <c r="M31" s="62"/>
    </row>
    <row r="32" spans="1:13" ht="24.75" customHeight="1">
      <c r="A32" s="40"/>
      <c r="B32" s="5"/>
      <c r="C32" s="17"/>
      <c r="D32" s="17"/>
      <c r="E32" s="17"/>
      <c r="F32" s="17"/>
      <c r="G32" s="17"/>
      <c r="H32" s="657" t="s">
        <v>59</v>
      </c>
      <c r="I32" s="658"/>
      <c r="J32" s="658"/>
      <c r="K32" s="659"/>
      <c r="L32" s="115"/>
      <c r="M32" s="62"/>
    </row>
    <row r="33" spans="1:13" ht="24.75" customHeight="1">
      <c r="A33" s="40"/>
      <c r="B33" s="5"/>
      <c r="C33" s="17"/>
      <c r="D33" s="17"/>
      <c r="E33" s="17"/>
      <c r="F33" s="17"/>
      <c r="G33" s="17"/>
      <c r="H33" s="228"/>
      <c r="I33" s="48" t="s">
        <v>56</v>
      </c>
      <c r="J33" s="111">
        <v>52.12</v>
      </c>
      <c r="K33" s="230" t="s">
        <v>51</v>
      </c>
      <c r="L33" s="115"/>
      <c r="M33" s="62"/>
    </row>
    <row r="34" spans="1:13" ht="24.75" customHeight="1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663" t="s">
        <v>73</v>
      </c>
      <c r="I35" s="664"/>
      <c r="J35" s="664"/>
      <c r="K35" s="665"/>
      <c r="L35" s="243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7"/>
      <c r="D36" s="17"/>
      <c r="E36" s="17"/>
      <c r="F36" s="17"/>
      <c r="G36" s="17"/>
      <c r="H36" s="671" t="s">
        <v>74</v>
      </c>
      <c r="I36" s="672"/>
      <c r="J36" s="672"/>
      <c r="K36" s="673"/>
      <c r="L36" s="115"/>
      <c r="M36" s="62"/>
    </row>
    <row r="37" spans="1:13" ht="24.75" customHeight="1">
      <c r="A37" s="40"/>
      <c r="B37" s="5"/>
      <c r="C37" s="17"/>
      <c r="D37" s="17"/>
      <c r="E37" s="17"/>
      <c r="F37" s="17"/>
      <c r="G37" s="17"/>
      <c r="H37" s="671" t="s">
        <v>75</v>
      </c>
      <c r="I37" s="672"/>
      <c r="J37" s="672"/>
      <c r="K37" s="673"/>
      <c r="L37" s="115"/>
      <c r="M37" s="62"/>
    </row>
    <row r="38" spans="1:13" ht="24.75" customHeight="1">
      <c r="A38" s="40"/>
      <c r="B38" s="5"/>
      <c r="C38" s="17"/>
      <c r="D38" s="17"/>
      <c r="E38" s="17"/>
      <c r="F38" s="17"/>
      <c r="G38" s="17"/>
      <c r="H38" s="671" t="s">
        <v>76</v>
      </c>
      <c r="I38" s="674"/>
      <c r="J38" s="674"/>
      <c r="K38" s="675"/>
      <c r="L38" s="115"/>
      <c r="M38" s="62"/>
    </row>
    <row r="39" spans="1:13" ht="24.75" customHeight="1">
      <c r="A39" s="40"/>
      <c r="B39" s="5"/>
      <c r="C39" s="17"/>
      <c r="D39" s="17"/>
      <c r="E39" s="17"/>
      <c r="F39" s="17"/>
      <c r="G39" s="17"/>
      <c r="H39" s="228"/>
      <c r="I39" s="48" t="s">
        <v>56</v>
      </c>
      <c r="J39" s="111">
        <f>(556.12*100/679.78)</f>
        <v>81.808820500750244</v>
      </c>
      <c r="K39" s="230" t="s">
        <v>51</v>
      </c>
      <c r="L39" s="115"/>
      <c r="M39" s="62"/>
    </row>
    <row r="40" spans="1:13" ht="24.75" customHeight="1">
      <c r="A40" s="50"/>
      <c r="B40" s="14"/>
      <c r="C40" s="20"/>
      <c r="D40" s="20"/>
      <c r="E40" s="20"/>
      <c r="F40" s="20"/>
      <c r="G40" s="20"/>
      <c r="H40" s="96"/>
      <c r="I40" s="233"/>
      <c r="J40" s="233"/>
      <c r="K40" s="234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663" t="s">
        <v>62</v>
      </c>
      <c r="I41" s="664"/>
      <c r="J41" s="664"/>
      <c r="K41" s="665"/>
      <c r="L41" s="243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657" t="s">
        <v>63</v>
      </c>
      <c r="I42" s="658"/>
      <c r="J42" s="658"/>
      <c r="K42" s="659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657" t="s">
        <v>64</v>
      </c>
      <c r="I43" s="658"/>
      <c r="J43" s="658"/>
      <c r="K43" s="659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235" t="s">
        <v>65</v>
      </c>
      <c r="I44" s="51"/>
      <c r="J44" s="92"/>
      <c r="K44" s="236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235"/>
      <c r="I45" s="51" t="s">
        <v>66</v>
      </c>
      <c r="J45" s="227">
        <v>104</v>
      </c>
      <c r="K45" s="236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235"/>
      <c r="I46" s="51" t="s">
        <v>67</v>
      </c>
      <c r="J46" s="227">
        <f>1+4</f>
        <v>5</v>
      </c>
      <c r="K46" s="236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228"/>
      <c r="I47" s="48" t="s">
        <v>81</v>
      </c>
      <c r="J47" s="111">
        <f>J46*100/J45</f>
        <v>4.8076923076923075</v>
      </c>
      <c r="K47" s="230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666"/>
      <c r="I48" s="669"/>
      <c r="J48" s="669"/>
      <c r="K48" s="670"/>
      <c r="L48" s="115"/>
      <c r="M48" s="62"/>
    </row>
    <row r="49" spans="1:13" ht="24.75" customHeight="1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663" t="s">
        <v>78</v>
      </c>
      <c r="I49" s="664"/>
      <c r="J49" s="664"/>
      <c r="K49" s="665"/>
      <c r="L49" s="243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658" t="s">
        <v>79</v>
      </c>
      <c r="I50" s="658"/>
      <c r="J50" s="658"/>
      <c r="K50" s="659"/>
      <c r="L50" s="115"/>
      <c r="M50" s="62"/>
    </row>
    <row r="51" spans="1:13" ht="24.75" customHeight="1">
      <c r="A51" s="40"/>
      <c r="B51" s="3"/>
      <c r="C51" s="260"/>
      <c r="D51" s="260"/>
      <c r="E51" s="260"/>
      <c r="F51" s="260" t="s">
        <v>71</v>
      </c>
      <c r="G51" s="260" t="s">
        <v>72</v>
      </c>
      <c r="H51" s="658" t="s">
        <v>80</v>
      </c>
      <c r="I51" s="658"/>
      <c r="J51" s="658"/>
      <c r="K51" s="659"/>
      <c r="L51" s="115"/>
      <c r="M51" s="62"/>
    </row>
    <row r="52" spans="1:13" ht="24.75" customHeight="1">
      <c r="A52" s="40"/>
      <c r="B52" s="3"/>
      <c r="C52" s="261"/>
      <c r="D52" s="261"/>
      <c r="E52" s="261"/>
      <c r="F52" s="261"/>
      <c r="G52" s="261"/>
      <c r="H52" s="228"/>
      <c r="I52" s="48" t="s">
        <v>56</v>
      </c>
      <c r="J52" s="111">
        <v>0</v>
      </c>
      <c r="K52" s="230" t="s">
        <v>51</v>
      </c>
      <c r="L52" s="115"/>
      <c r="M52" s="62"/>
    </row>
    <row r="53" spans="1:13" ht="25.5">
      <c r="A53" s="50"/>
      <c r="B53" s="14"/>
      <c r="C53" s="20"/>
      <c r="D53" s="20"/>
      <c r="E53" s="20"/>
      <c r="F53" s="20"/>
      <c r="G53" s="20"/>
      <c r="H53" s="666"/>
      <c r="I53" s="667"/>
      <c r="J53" s="667"/>
      <c r="K53" s="668"/>
      <c r="L53" s="116"/>
      <c r="M53" s="63"/>
    </row>
    <row r="54" spans="1:13" ht="24.75" customHeight="1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663" t="s">
        <v>99</v>
      </c>
      <c r="I54" s="664"/>
      <c r="J54" s="664"/>
      <c r="K54" s="665"/>
      <c r="L54" s="243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657" t="s">
        <v>100</v>
      </c>
      <c r="I55" s="658"/>
      <c r="J55" s="658"/>
      <c r="K55" s="659"/>
      <c r="L55" s="115"/>
      <c r="M55" s="62"/>
    </row>
    <row r="56" spans="1:13" ht="24.75" customHeight="1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4631.0600000000004</v>
      </c>
      <c r="K56" s="230" t="s">
        <v>34</v>
      </c>
      <c r="L56" s="115"/>
      <c r="M56" s="62"/>
    </row>
    <row r="57" spans="1:13" ht="24.75" customHeight="1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2605.0300000000002</v>
      </c>
      <c r="K57" s="230" t="s">
        <v>34</v>
      </c>
      <c r="L57" s="115"/>
      <c r="M57" s="62"/>
    </row>
    <row r="58" spans="1:13" ht="24.75" customHeight="1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56.251268608050857</v>
      </c>
      <c r="K58" s="230" t="s">
        <v>51</v>
      </c>
      <c r="L58" s="115"/>
      <c r="M58" s="62"/>
    </row>
    <row r="59" spans="1:13" ht="27.75" customHeight="1">
      <c r="A59" s="50"/>
      <c r="B59" s="14"/>
      <c r="C59" s="20"/>
      <c r="D59" s="20"/>
      <c r="E59" s="20"/>
      <c r="F59" s="20"/>
      <c r="G59" s="20"/>
      <c r="H59" s="102"/>
      <c r="I59" s="233"/>
      <c r="J59" s="103"/>
      <c r="K59" s="234"/>
      <c r="L59" s="116"/>
      <c r="M59" s="63"/>
    </row>
    <row r="60" spans="1:13" ht="24.75" customHeight="1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663" t="s">
        <v>92</v>
      </c>
      <c r="I60" s="664"/>
      <c r="J60" s="664"/>
      <c r="K60" s="665"/>
      <c r="L60" s="243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62"/>
      <c r="D61" s="262"/>
      <c r="E61" s="262"/>
      <c r="F61" s="262"/>
      <c r="G61" s="262"/>
      <c r="H61" s="657" t="s">
        <v>93</v>
      </c>
      <c r="I61" s="658"/>
      <c r="J61" s="658"/>
      <c r="K61" s="659"/>
      <c r="L61" s="115"/>
      <c r="M61" s="62"/>
    </row>
    <row r="62" spans="1:13" ht="24.75" customHeight="1">
      <c r="A62" s="40" t="s">
        <v>91</v>
      </c>
      <c r="B62" s="5"/>
      <c r="C62" s="17"/>
      <c r="D62" s="17"/>
      <c r="E62" s="17"/>
      <c r="F62" s="17"/>
      <c r="G62" s="17"/>
      <c r="H62" s="657" t="s">
        <v>94</v>
      </c>
      <c r="I62" s="658"/>
      <c r="J62" s="658"/>
      <c r="K62" s="659"/>
      <c r="L62" s="115"/>
      <c r="M62" s="62"/>
    </row>
    <row r="63" spans="1:13" ht="24.75" customHeight="1">
      <c r="A63" s="40"/>
      <c r="B63" s="5"/>
      <c r="C63" s="17"/>
      <c r="D63" s="17"/>
      <c r="E63" s="17"/>
      <c r="F63" s="17"/>
      <c r="G63" s="17"/>
      <c r="H63" s="228" t="s">
        <v>95</v>
      </c>
      <c r="I63" s="229"/>
      <c r="J63" s="229"/>
      <c r="K63" s="230"/>
      <c r="L63" s="115"/>
      <c r="M63" s="62"/>
    </row>
    <row r="64" spans="1:13" ht="24.75" customHeight="1">
      <c r="A64" s="40"/>
      <c r="B64" s="5"/>
      <c r="C64" s="17"/>
      <c r="D64" s="17"/>
      <c r="E64" s="17"/>
      <c r="F64" s="17"/>
      <c r="G64" s="17"/>
      <c r="H64" s="235"/>
      <c r="I64" s="51" t="s">
        <v>97</v>
      </c>
      <c r="J64" s="111">
        <v>0</v>
      </c>
      <c r="K64" s="236" t="s">
        <v>96</v>
      </c>
      <c r="L64" s="115"/>
      <c r="M64" s="62"/>
    </row>
    <row r="65" spans="1:32" ht="24.75" customHeight="1">
      <c r="A65" s="40"/>
      <c r="B65" s="5"/>
      <c r="C65" s="17"/>
      <c r="D65" s="17"/>
      <c r="E65" s="17"/>
      <c r="F65" s="17"/>
      <c r="G65" s="17"/>
      <c r="H65" s="235"/>
      <c r="I65" s="51" t="s">
        <v>98</v>
      </c>
      <c r="J65" s="111">
        <v>0</v>
      </c>
      <c r="K65" s="236" t="s">
        <v>96</v>
      </c>
      <c r="L65" s="115"/>
      <c r="M65" s="62"/>
    </row>
    <row r="66" spans="1:32" ht="24.75" customHeight="1">
      <c r="A66" s="40"/>
      <c r="B66" s="5"/>
      <c r="C66" s="17"/>
      <c r="D66" s="17"/>
      <c r="E66" s="17"/>
      <c r="F66" s="17"/>
      <c r="G66" s="17"/>
      <c r="H66" s="228"/>
      <c r="I66" s="51" t="s">
        <v>35</v>
      </c>
      <c r="J66" s="111">
        <v>0</v>
      </c>
      <c r="K66" s="230" t="s">
        <v>51</v>
      </c>
      <c r="L66" s="115"/>
      <c r="M66" s="62"/>
    </row>
    <row r="67" spans="1:32" ht="24.75" customHeight="1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663" t="s">
        <v>103</v>
      </c>
      <c r="I68" s="664"/>
      <c r="J68" s="664"/>
      <c r="K68" s="665"/>
      <c r="L68" s="243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657" t="s">
        <v>104</v>
      </c>
      <c r="I69" s="658"/>
      <c r="J69" s="658"/>
      <c r="K69" s="659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657" t="s">
        <v>105</v>
      </c>
      <c r="I70" s="658"/>
      <c r="J70" s="658"/>
      <c r="K70" s="659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30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63" t="s">
        <v>108</v>
      </c>
      <c r="I73" s="664"/>
      <c r="J73" s="664"/>
      <c r="K73" s="665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57" t="s">
        <v>109</v>
      </c>
      <c r="I74" s="658"/>
      <c r="J74" s="658"/>
      <c r="K74" s="659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657" t="s">
        <v>110</v>
      </c>
      <c r="I75" s="658"/>
      <c r="J75" s="658"/>
      <c r="K75" s="659"/>
      <c r="L75" s="115"/>
      <c r="M75" s="62"/>
    </row>
    <row r="76" spans="1:32" ht="24.75" customHeight="1">
      <c r="A76" s="40"/>
      <c r="B76" s="5"/>
      <c r="C76" s="23"/>
      <c r="D76" s="23"/>
      <c r="E76" s="23"/>
      <c r="F76" s="23"/>
      <c r="G76" s="23"/>
      <c r="H76" s="657" t="s">
        <v>111</v>
      </c>
      <c r="I76" s="658"/>
      <c r="J76" s="658"/>
      <c r="K76" s="659"/>
      <c r="L76" s="115"/>
      <c r="M76" s="62"/>
    </row>
    <row r="77" spans="1:32" ht="24.75" customHeight="1">
      <c r="A77" s="40"/>
      <c r="B77" s="5"/>
      <c r="C77" s="23"/>
      <c r="D77" s="23"/>
      <c r="E77" s="23"/>
      <c r="F77" s="23"/>
      <c r="G77" s="23"/>
      <c r="H77" s="228"/>
      <c r="I77" s="51" t="s">
        <v>112</v>
      </c>
      <c r="J77" s="111">
        <v>0</v>
      </c>
      <c r="K77" s="236"/>
      <c r="L77" s="115"/>
      <c r="M77" s="62"/>
      <c r="R77" s="26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233"/>
      <c r="J78" s="233"/>
      <c r="K78" s="234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663" t="s">
        <v>123</v>
      </c>
      <c r="I79" s="664"/>
      <c r="J79" s="664"/>
      <c r="K79" s="665"/>
      <c r="L79" s="243">
        <f>'[1]9 เดือน'!$L$79</f>
        <v>4.4518716577540109</v>
      </c>
      <c r="M79" s="61">
        <f>IF(L79=0,"-",L79*B79/B$94)</f>
        <v>0.22259358288770056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228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>
      <c r="A81" s="56"/>
      <c r="B81" s="27"/>
      <c r="C81" s="17"/>
      <c r="D81" s="17"/>
      <c r="E81" s="17"/>
      <c r="F81" s="17"/>
      <c r="G81" s="17"/>
      <c r="H81" s="229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>
      <c r="A82" s="56"/>
      <c r="B82" s="27"/>
      <c r="C82" s="17"/>
      <c r="D82" s="17"/>
      <c r="E82" s="17"/>
      <c r="F82" s="17"/>
      <c r="G82" s="17"/>
      <c r="H82" s="228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>
      <c r="A83" s="56"/>
      <c r="B83" s="27"/>
      <c r="C83" s="17"/>
      <c r="D83" s="17"/>
      <c r="E83" s="17"/>
      <c r="F83" s="17"/>
      <c r="G83" s="17"/>
      <c r="H83" s="228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>
      <c r="A84" s="56"/>
      <c r="B84" s="27"/>
      <c r="C84" s="17"/>
      <c r="D84" s="17"/>
      <c r="E84" s="17"/>
      <c r="F84" s="17"/>
      <c r="G84" s="17"/>
      <c r="H84" s="228"/>
      <c r="I84" s="51" t="s">
        <v>114</v>
      </c>
      <c r="J84" s="246">
        <f>L79</f>
        <v>4.4518716577540109</v>
      </c>
      <c r="K84" s="236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233"/>
      <c r="J85" s="233"/>
      <c r="K85" s="234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663" t="s">
        <v>117</v>
      </c>
      <c r="I86" s="664"/>
      <c r="J86" s="664"/>
      <c r="K86" s="665"/>
      <c r="L86" s="243">
        <f>'[1]9 เดือน'!$L$86</f>
        <v>4.1000000000000005</v>
      </c>
      <c r="M86" s="61">
        <f>IF(L86=0,"-",L86*B86/B$94)</f>
        <v>0.20500000000000004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657" t="s">
        <v>118</v>
      </c>
      <c r="I87" s="658"/>
      <c r="J87" s="658"/>
      <c r="K87" s="659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657" t="s">
        <v>119</v>
      </c>
      <c r="I88" s="658"/>
      <c r="J88" s="658"/>
      <c r="K88" s="659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228" t="s">
        <v>120</v>
      </c>
      <c r="I89" s="229"/>
      <c r="J89" s="229"/>
      <c r="K89" s="230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228" t="s">
        <v>121</v>
      </c>
      <c r="I90" s="229"/>
      <c r="J90" s="229"/>
      <c r="K90" s="230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1">
        <f>'[1]9 เดือน'!$J$91</f>
        <v>95.5</v>
      </c>
      <c r="K91" s="230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660" t="s">
        <v>129</v>
      </c>
      <c r="B93" s="661"/>
      <c r="C93" s="661"/>
      <c r="D93" s="661"/>
      <c r="E93" s="661"/>
      <c r="F93" s="661"/>
      <c r="G93" s="661"/>
      <c r="H93" s="661"/>
      <c r="I93" s="661"/>
      <c r="J93" s="661"/>
      <c r="K93" s="661"/>
      <c r="L93" s="662"/>
      <c r="M93" s="267">
        <f>SUM(M86,M79,M73,M68,M60,M54,M49,M41,M35,M29,M24,M17,M9,M6)</f>
        <v>1.4939935828877009</v>
      </c>
    </row>
    <row r="94" spans="1:32">
      <c r="B94" s="268">
        <f>SUM(B6:B92)</f>
        <v>100</v>
      </c>
    </row>
  </sheetData>
  <mergeCells count="53">
    <mergeCell ref="H9:I10"/>
    <mergeCell ref="J9:K9"/>
    <mergeCell ref="A1:M1"/>
    <mergeCell ref="A2:M2"/>
    <mergeCell ref="C4:G4"/>
    <mergeCell ref="H4:K5"/>
    <mergeCell ref="L4:L5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F94"/>
  <sheetViews>
    <sheetView topLeftCell="A37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>
      <c r="A1" s="695" t="s">
        <v>0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</row>
    <row r="2" spans="1:16" ht="27.75">
      <c r="A2" s="695" t="s">
        <v>45</v>
      </c>
      <c r="B2" s="696"/>
      <c r="C2" s="696"/>
      <c r="D2" s="696"/>
      <c r="E2" s="696"/>
      <c r="F2" s="696"/>
      <c r="G2" s="696"/>
      <c r="H2" s="696"/>
      <c r="I2" s="696"/>
      <c r="J2" s="696"/>
      <c r="K2" s="696"/>
      <c r="L2" s="696"/>
      <c r="M2" s="696"/>
    </row>
    <row r="3" spans="1:16" ht="26.25" customHeight="1">
      <c r="A3" s="247" t="s">
        <v>135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>
      <c r="A4" s="26" t="s">
        <v>1</v>
      </c>
      <c r="B4" s="26" t="s">
        <v>2</v>
      </c>
      <c r="C4" s="697" t="s">
        <v>3</v>
      </c>
      <c r="D4" s="697"/>
      <c r="E4" s="697"/>
      <c r="F4" s="697"/>
      <c r="G4" s="697"/>
      <c r="H4" s="698" t="s">
        <v>4</v>
      </c>
      <c r="I4" s="699"/>
      <c r="J4" s="699"/>
      <c r="K4" s="700"/>
      <c r="L4" s="704" t="s">
        <v>5</v>
      </c>
      <c r="M4" s="250" t="s">
        <v>6</v>
      </c>
    </row>
    <row r="5" spans="1:16" s="251" customFormat="1" ht="24.75" customHeight="1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701"/>
      <c r="I5" s="702"/>
      <c r="J5" s="702"/>
      <c r="K5" s="703"/>
      <c r="L5" s="704"/>
      <c r="M5" s="253" t="s">
        <v>9</v>
      </c>
    </row>
    <row r="6" spans="1:16" ht="23.25" customHeight="1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72" t="s">
        <v>128</v>
      </c>
      <c r="I6" s="68"/>
      <c r="J6" s="68"/>
      <c r="K6" s="69"/>
      <c r="L6" s="243">
        <f>'[1]10 เดือน'!$L$6</f>
        <v>2.7450000000000001</v>
      </c>
      <c r="M6" s="61">
        <f>IF(L6=0,"-",L6*B6/B$94)</f>
        <v>0.27450000000000002</v>
      </c>
    </row>
    <row r="7" spans="1:16" ht="23.25" customHeight="1">
      <c r="A7" s="39" t="s">
        <v>12</v>
      </c>
      <c r="B7" s="3"/>
      <c r="C7" s="244"/>
      <c r="D7" s="244"/>
      <c r="E7" s="244"/>
      <c r="F7" s="244"/>
      <c r="G7" s="244"/>
      <c r="H7" s="270" t="s">
        <v>40</v>
      </c>
      <c r="I7" s="70"/>
      <c r="J7" s="245">
        <f>'[1]10 เดือน'!$J$7</f>
        <v>77.45</v>
      </c>
      <c r="K7" s="71" t="s">
        <v>51</v>
      </c>
      <c r="L7" s="115"/>
      <c r="M7" s="62"/>
    </row>
    <row r="8" spans="1:16" ht="23.25" customHeight="1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680" t="s">
        <v>14</v>
      </c>
      <c r="I9" s="681"/>
      <c r="J9" s="682" t="s">
        <v>15</v>
      </c>
      <c r="K9" s="682"/>
      <c r="L9" s="243">
        <f>'[1]10 เดือน'!$L$9</f>
        <v>1.7437379576107901</v>
      </c>
      <c r="M9" s="61">
        <f>IF(L9=0,"-",L9*B9/B$94)</f>
        <v>0.174373795761079</v>
      </c>
      <c r="O9" s="254"/>
      <c r="P9" s="255"/>
    </row>
    <row r="10" spans="1:16" ht="23.25" customHeight="1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680"/>
      <c r="I10" s="681"/>
      <c r="J10" s="278" t="s">
        <v>17</v>
      </c>
      <c r="K10" s="278" t="s">
        <v>18</v>
      </c>
      <c r="L10" s="115"/>
      <c r="M10" s="62"/>
      <c r="O10" s="254"/>
      <c r="P10" s="257"/>
    </row>
    <row r="11" spans="1:16" ht="23.25" customHeight="1">
      <c r="A11" s="40"/>
      <c r="B11" s="3"/>
      <c r="C11" s="258"/>
      <c r="D11" s="258"/>
      <c r="E11" s="258"/>
      <c r="F11" s="258"/>
      <c r="G11" s="258"/>
      <c r="H11" s="683" t="s">
        <v>19</v>
      </c>
      <c r="I11" s="684"/>
      <c r="J11" s="73">
        <v>19000</v>
      </c>
      <c r="K11" s="64">
        <f>'[1]10 เดือน'!$K$11</f>
        <v>14000</v>
      </c>
      <c r="L11" s="115"/>
      <c r="M11" s="62"/>
    </row>
    <row r="12" spans="1:16" ht="23.25" customHeight="1">
      <c r="A12" s="40"/>
      <c r="B12" s="5"/>
      <c r="C12" s="259"/>
      <c r="D12" s="17"/>
      <c r="E12" s="17"/>
      <c r="F12" s="17"/>
      <c r="G12" s="17"/>
      <c r="H12" s="272" t="s">
        <v>41</v>
      </c>
      <c r="I12" s="273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7"/>
      <c r="D13" s="17"/>
      <c r="E13" s="17"/>
      <c r="F13" s="17"/>
      <c r="G13" s="17"/>
      <c r="H13" s="657" t="s">
        <v>42</v>
      </c>
      <c r="I13" s="659"/>
      <c r="J13" s="86"/>
      <c r="K13" s="87"/>
      <c r="L13" s="115"/>
      <c r="M13" s="62"/>
    </row>
    <row r="14" spans="1:16" ht="23.25" customHeight="1">
      <c r="A14" s="40"/>
      <c r="B14" s="5"/>
      <c r="C14" s="17"/>
      <c r="D14" s="17"/>
      <c r="E14" s="17"/>
      <c r="F14" s="17"/>
      <c r="G14" s="17"/>
      <c r="H14" s="676" t="s">
        <v>43</v>
      </c>
      <c r="I14" s="677"/>
      <c r="J14" s="88"/>
      <c r="K14" s="89"/>
      <c r="L14" s="115"/>
      <c r="M14" s="62"/>
    </row>
    <row r="15" spans="1:16" ht="23.25" customHeight="1" thickBot="1">
      <c r="A15" s="40"/>
      <c r="B15" s="5"/>
      <c r="C15" s="17"/>
      <c r="D15" s="17"/>
      <c r="E15" s="17"/>
      <c r="F15" s="17"/>
      <c r="G15" s="17"/>
      <c r="H15" s="678" t="s">
        <v>20</v>
      </c>
      <c r="I15" s="678"/>
      <c r="J15" s="90">
        <f>SUM(J11:J12)</f>
        <v>20760</v>
      </c>
      <c r="K15" s="91">
        <f>SUM(K11:K12)</f>
        <v>14000</v>
      </c>
      <c r="L15" s="115"/>
      <c r="M15" s="62"/>
    </row>
    <row r="16" spans="1:16" ht="23.25" customHeight="1" thickTop="1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663" t="s">
        <v>46</v>
      </c>
      <c r="I17" s="664"/>
      <c r="J17" s="664"/>
      <c r="K17" s="665"/>
      <c r="L17" s="243">
        <f>'[1]6 เดือน'!$L$17</f>
        <v>1</v>
      </c>
      <c r="M17" s="61">
        <f>IF(L17=0,"-",L17*B17/B$94)</f>
        <v>0.05</v>
      </c>
    </row>
    <row r="18" spans="1:13" ht="23.25" customHeight="1">
      <c r="A18" s="40" t="s">
        <v>44</v>
      </c>
      <c r="B18" s="5"/>
      <c r="C18" s="17"/>
      <c r="D18" s="17"/>
      <c r="E18" s="17"/>
      <c r="F18" s="17"/>
      <c r="G18" s="17"/>
      <c r="H18" s="657" t="s">
        <v>47</v>
      </c>
      <c r="I18" s="658"/>
      <c r="J18" s="658"/>
      <c r="K18" s="659"/>
      <c r="L18" s="115"/>
      <c r="M18" s="62"/>
    </row>
    <row r="19" spans="1:13" ht="23.25" customHeight="1">
      <c r="A19" s="40"/>
      <c r="B19" s="5"/>
      <c r="C19" s="17"/>
      <c r="D19" s="17"/>
      <c r="E19" s="17"/>
      <c r="F19" s="17"/>
      <c r="G19" s="17"/>
      <c r="H19" s="657" t="s">
        <v>48</v>
      </c>
      <c r="I19" s="658"/>
      <c r="J19" s="658"/>
      <c r="K19" s="659"/>
      <c r="L19" s="115"/>
      <c r="M19" s="62"/>
    </row>
    <row r="20" spans="1:13" ht="23.25" customHeight="1">
      <c r="A20" s="40"/>
      <c r="B20" s="5"/>
      <c r="C20" s="17"/>
      <c r="D20" s="17"/>
      <c r="E20" s="17"/>
      <c r="F20" s="17"/>
      <c r="G20" s="17"/>
      <c r="H20" s="657" t="s">
        <v>49</v>
      </c>
      <c r="I20" s="658"/>
      <c r="J20" s="658"/>
      <c r="K20" s="659"/>
      <c r="L20" s="115"/>
      <c r="M20" s="62"/>
    </row>
    <row r="21" spans="1:13" ht="23.25" customHeight="1">
      <c r="A21" s="40"/>
      <c r="B21" s="5"/>
      <c r="C21" s="17"/>
      <c r="D21" s="17"/>
      <c r="E21" s="17"/>
      <c r="F21" s="17"/>
      <c r="G21" s="17"/>
      <c r="H21" s="657" t="s">
        <v>50</v>
      </c>
      <c r="I21" s="658"/>
      <c r="J21" s="658"/>
      <c r="K21" s="659"/>
      <c r="L21" s="115"/>
      <c r="M21" s="62"/>
    </row>
    <row r="22" spans="1:13" ht="23.25" customHeight="1">
      <c r="A22" s="40"/>
      <c r="B22" s="5"/>
      <c r="C22" s="17"/>
      <c r="D22" s="17"/>
      <c r="E22" s="17"/>
      <c r="F22" s="17"/>
      <c r="G22" s="17"/>
      <c r="I22" s="51" t="s">
        <v>54</v>
      </c>
      <c r="J22" s="111" t="e">
        <f>'[1]6 เดือน'!$J$22</f>
        <v>#REF!</v>
      </c>
      <c r="K22" s="271" t="s">
        <v>51</v>
      </c>
      <c r="L22" s="115"/>
      <c r="M22" s="62"/>
    </row>
    <row r="23" spans="1:13" ht="23.25" customHeight="1">
      <c r="A23" s="50"/>
      <c r="B23" s="14"/>
      <c r="C23" s="20"/>
      <c r="D23" s="20"/>
      <c r="E23" s="20"/>
      <c r="F23" s="20"/>
      <c r="G23" s="20"/>
      <c r="H23" s="679"/>
      <c r="I23" s="669"/>
      <c r="J23" s="669"/>
      <c r="K23" s="670"/>
      <c r="L23" s="116"/>
      <c r="M23" s="63"/>
    </row>
    <row r="24" spans="1:13" ht="23.25" customHeight="1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664" t="s">
        <v>82</v>
      </c>
      <c r="I24" s="664"/>
      <c r="J24" s="664"/>
      <c r="K24" s="665"/>
      <c r="L24" s="243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7"/>
      <c r="D25" s="17"/>
      <c r="E25" s="17"/>
      <c r="F25" s="17"/>
      <c r="G25" s="17"/>
      <c r="H25" s="657" t="s">
        <v>83</v>
      </c>
      <c r="I25" s="658"/>
      <c r="J25" s="658"/>
      <c r="K25" s="659"/>
      <c r="L25" s="115"/>
      <c r="M25" s="62"/>
    </row>
    <row r="26" spans="1:13" ht="23.25" customHeight="1">
      <c r="A26" s="40"/>
      <c r="B26" s="5"/>
      <c r="C26" s="17"/>
      <c r="D26" s="17"/>
      <c r="E26" s="17"/>
      <c r="F26" s="17"/>
      <c r="G26" s="17"/>
      <c r="H26" s="657" t="s">
        <v>55</v>
      </c>
      <c r="I26" s="658"/>
      <c r="J26" s="658"/>
      <c r="K26" s="659"/>
      <c r="L26" s="115"/>
      <c r="M26" s="62"/>
    </row>
    <row r="27" spans="1:13" ht="23.25" customHeight="1">
      <c r="A27" s="40"/>
      <c r="B27" s="5"/>
      <c r="C27" s="17"/>
      <c r="D27" s="17"/>
      <c r="E27" s="17"/>
      <c r="F27" s="17"/>
      <c r="G27" s="17"/>
      <c r="H27" s="276"/>
      <c r="I27" s="48" t="s">
        <v>56</v>
      </c>
      <c r="J27" s="111">
        <f>[5]ผอป.คญ.!$J$27</f>
        <v>44.88</v>
      </c>
      <c r="K27" s="271" t="s">
        <v>51</v>
      </c>
      <c r="L27" s="115"/>
      <c r="M27" s="62"/>
    </row>
    <row r="28" spans="1:13" ht="23.25" customHeight="1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663" t="s">
        <v>57</v>
      </c>
      <c r="I29" s="664"/>
      <c r="J29" s="664"/>
      <c r="K29" s="665"/>
      <c r="L29" s="243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7"/>
      <c r="D30" s="17"/>
      <c r="E30" s="17"/>
      <c r="F30" s="17"/>
      <c r="G30" s="17"/>
      <c r="H30" s="657" t="s">
        <v>58</v>
      </c>
      <c r="I30" s="658"/>
      <c r="J30" s="658"/>
      <c r="K30" s="659"/>
      <c r="L30" s="115"/>
      <c r="M30" s="62"/>
    </row>
    <row r="31" spans="1:13" ht="24.75" customHeight="1">
      <c r="A31" s="40" t="s">
        <v>24</v>
      </c>
      <c r="B31" s="5"/>
      <c r="C31" s="17"/>
      <c r="D31" s="17"/>
      <c r="E31" s="17"/>
      <c r="F31" s="17"/>
      <c r="G31" s="17"/>
      <c r="H31" s="657" t="s">
        <v>77</v>
      </c>
      <c r="I31" s="658"/>
      <c r="J31" s="658"/>
      <c r="K31" s="659"/>
      <c r="L31" s="115"/>
      <c r="M31" s="62"/>
    </row>
    <row r="32" spans="1:13" ht="24.75" customHeight="1">
      <c r="A32" s="40"/>
      <c r="B32" s="5"/>
      <c r="C32" s="17"/>
      <c r="D32" s="17"/>
      <c r="E32" s="17"/>
      <c r="F32" s="17"/>
      <c r="G32" s="17"/>
      <c r="H32" s="657" t="s">
        <v>59</v>
      </c>
      <c r="I32" s="658"/>
      <c r="J32" s="658"/>
      <c r="K32" s="659"/>
      <c r="L32" s="115"/>
      <c r="M32" s="62"/>
    </row>
    <row r="33" spans="1:13" ht="24.75" customHeight="1">
      <c r="A33" s="40"/>
      <c r="B33" s="5"/>
      <c r="C33" s="17"/>
      <c r="D33" s="17"/>
      <c r="E33" s="17"/>
      <c r="F33" s="17"/>
      <c r="G33" s="17"/>
      <c r="H33" s="269"/>
      <c r="I33" s="48" t="s">
        <v>56</v>
      </c>
      <c r="J33" s="111">
        <f>[5]ผอป.คญ.!$J$33</f>
        <v>60.167000000000002</v>
      </c>
      <c r="K33" s="271" t="s">
        <v>51</v>
      </c>
      <c r="L33" s="115"/>
      <c r="M33" s="62"/>
    </row>
    <row r="34" spans="1:13" ht="24.75" customHeight="1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663" t="s">
        <v>73</v>
      </c>
      <c r="I35" s="664"/>
      <c r="J35" s="664"/>
      <c r="K35" s="665"/>
      <c r="L35" s="243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7"/>
      <c r="D36" s="17"/>
      <c r="E36" s="17"/>
      <c r="F36" s="17"/>
      <c r="G36" s="17"/>
      <c r="H36" s="671" t="s">
        <v>74</v>
      </c>
      <c r="I36" s="672"/>
      <c r="J36" s="672"/>
      <c r="K36" s="673"/>
      <c r="L36" s="115"/>
      <c r="M36" s="62"/>
    </row>
    <row r="37" spans="1:13" ht="24.75" customHeight="1">
      <c r="A37" s="40"/>
      <c r="B37" s="5"/>
      <c r="C37" s="17"/>
      <c r="D37" s="17"/>
      <c r="E37" s="17"/>
      <c r="F37" s="17"/>
      <c r="G37" s="17"/>
      <c r="H37" s="671" t="s">
        <v>75</v>
      </c>
      <c r="I37" s="672"/>
      <c r="J37" s="672"/>
      <c r="K37" s="673"/>
      <c r="L37" s="115"/>
      <c r="M37" s="62"/>
    </row>
    <row r="38" spans="1:13" ht="24.75" customHeight="1">
      <c r="A38" s="40"/>
      <c r="B38" s="5"/>
      <c r="C38" s="17"/>
      <c r="D38" s="17"/>
      <c r="E38" s="17"/>
      <c r="F38" s="17"/>
      <c r="G38" s="17"/>
      <c r="H38" s="671" t="s">
        <v>76</v>
      </c>
      <c r="I38" s="674"/>
      <c r="J38" s="674"/>
      <c r="K38" s="675"/>
      <c r="L38" s="115"/>
      <c r="M38" s="62"/>
    </row>
    <row r="39" spans="1:13" ht="24.75" customHeight="1">
      <c r="A39" s="40"/>
      <c r="B39" s="5"/>
      <c r="C39" s="17"/>
      <c r="D39" s="17"/>
      <c r="E39" s="17"/>
      <c r="F39" s="17"/>
      <c r="G39" s="17"/>
      <c r="H39" s="269"/>
      <c r="I39" s="48" t="s">
        <v>56</v>
      </c>
      <c r="J39" s="111">
        <f>(582.49*100/907.72)</f>
        <v>64.170669369409069</v>
      </c>
      <c r="K39" s="271" t="s">
        <v>51</v>
      </c>
      <c r="L39" s="115"/>
      <c r="M39" s="62"/>
    </row>
    <row r="40" spans="1:13" ht="24.75" customHeight="1">
      <c r="A40" s="50"/>
      <c r="B40" s="14"/>
      <c r="C40" s="20"/>
      <c r="D40" s="20"/>
      <c r="E40" s="20"/>
      <c r="F40" s="20"/>
      <c r="G40" s="20"/>
      <c r="H40" s="96"/>
      <c r="I40" s="274"/>
      <c r="J40" s="274"/>
      <c r="K40" s="275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663" t="s">
        <v>62</v>
      </c>
      <c r="I41" s="664"/>
      <c r="J41" s="664"/>
      <c r="K41" s="665"/>
      <c r="L41" s="243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657" t="s">
        <v>63</v>
      </c>
      <c r="I42" s="658"/>
      <c r="J42" s="658"/>
      <c r="K42" s="659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657" t="s">
        <v>64</v>
      </c>
      <c r="I43" s="658"/>
      <c r="J43" s="658"/>
      <c r="K43" s="659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276" t="s">
        <v>65</v>
      </c>
      <c r="I44" s="51"/>
      <c r="J44" s="92"/>
      <c r="K44" s="277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276"/>
      <c r="I45" s="51" t="s">
        <v>66</v>
      </c>
      <c r="J45" s="227">
        <v>104</v>
      </c>
      <c r="K45" s="277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276"/>
      <c r="I46" s="51" t="s">
        <v>67</v>
      </c>
      <c r="J46" s="227">
        <f>'[1]10 เดือน'!$J$46</f>
        <v>24</v>
      </c>
      <c r="K46" s="277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269"/>
      <c r="I47" s="48" t="s">
        <v>81</v>
      </c>
      <c r="J47" s="111">
        <f>J46*100/J45</f>
        <v>23.076923076923077</v>
      </c>
      <c r="K47" s="271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666"/>
      <c r="I48" s="669"/>
      <c r="J48" s="669"/>
      <c r="K48" s="670"/>
      <c r="L48" s="115"/>
      <c r="M48" s="62"/>
    </row>
    <row r="49" spans="1:13" ht="24.75" customHeight="1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663" t="s">
        <v>78</v>
      </c>
      <c r="I49" s="664"/>
      <c r="J49" s="664"/>
      <c r="K49" s="665"/>
      <c r="L49" s="243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658" t="s">
        <v>79</v>
      </c>
      <c r="I50" s="658"/>
      <c r="J50" s="658"/>
      <c r="K50" s="659"/>
      <c r="L50" s="115"/>
      <c r="M50" s="62"/>
    </row>
    <row r="51" spans="1:13" ht="24.75" customHeight="1">
      <c r="A51" s="40"/>
      <c r="B51" s="3"/>
      <c r="C51" s="260"/>
      <c r="D51" s="260"/>
      <c r="E51" s="260"/>
      <c r="F51" s="260" t="s">
        <v>71</v>
      </c>
      <c r="G51" s="260" t="s">
        <v>72</v>
      </c>
      <c r="H51" s="658" t="s">
        <v>80</v>
      </c>
      <c r="I51" s="658"/>
      <c r="J51" s="658"/>
      <c r="K51" s="659"/>
      <c r="L51" s="115"/>
      <c r="M51" s="62"/>
    </row>
    <row r="52" spans="1:13" ht="24.75" customHeight="1">
      <c r="A52" s="40"/>
      <c r="B52" s="3"/>
      <c r="C52" s="261"/>
      <c r="D52" s="261"/>
      <c r="E52" s="261"/>
      <c r="F52" s="261"/>
      <c r="G52" s="261"/>
      <c r="H52" s="269"/>
      <c r="I52" s="48" t="s">
        <v>56</v>
      </c>
      <c r="J52" s="111">
        <v>0</v>
      </c>
      <c r="K52" s="271" t="s">
        <v>51</v>
      </c>
      <c r="L52" s="115"/>
      <c r="M52" s="62"/>
    </row>
    <row r="53" spans="1:13" ht="25.5">
      <c r="A53" s="50"/>
      <c r="B53" s="14"/>
      <c r="C53" s="20"/>
      <c r="D53" s="20"/>
      <c r="E53" s="20"/>
      <c r="F53" s="20"/>
      <c r="G53" s="20"/>
      <c r="H53" s="666"/>
      <c r="I53" s="667"/>
      <c r="J53" s="667"/>
      <c r="K53" s="668"/>
      <c r="L53" s="116"/>
      <c r="M53" s="63"/>
    </row>
    <row r="54" spans="1:13" ht="24.75" customHeight="1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663" t="s">
        <v>99</v>
      </c>
      <c r="I54" s="664"/>
      <c r="J54" s="664"/>
      <c r="K54" s="665"/>
      <c r="L54" s="243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657" t="s">
        <v>100</v>
      </c>
      <c r="I55" s="658"/>
      <c r="J55" s="658"/>
      <c r="K55" s="659"/>
      <c r="L55" s="115"/>
      <c r="M55" s="62"/>
    </row>
    <row r="56" spans="1:13" ht="24.75" customHeight="1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4926.5618000000004</v>
      </c>
      <c r="K56" s="271" t="s">
        <v>34</v>
      </c>
      <c r="L56" s="115"/>
      <c r="M56" s="62"/>
    </row>
    <row r="57" spans="1:13" ht="24.75" customHeight="1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3075.1275000000001</v>
      </c>
      <c r="K57" s="271" t="s">
        <v>34</v>
      </c>
      <c r="L57" s="115"/>
      <c r="M57" s="62"/>
    </row>
    <row r="58" spans="1:13" ht="24.75" customHeight="1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62.419342836620864</v>
      </c>
      <c r="K58" s="271" t="s">
        <v>51</v>
      </c>
      <c r="L58" s="115"/>
      <c r="M58" s="62"/>
    </row>
    <row r="59" spans="1:13" ht="27.75" customHeight="1">
      <c r="A59" s="50"/>
      <c r="B59" s="14"/>
      <c r="C59" s="20"/>
      <c r="D59" s="20"/>
      <c r="E59" s="20"/>
      <c r="F59" s="20"/>
      <c r="G59" s="20"/>
      <c r="H59" s="102"/>
      <c r="I59" s="274"/>
      <c r="J59" s="103"/>
      <c r="K59" s="275"/>
      <c r="L59" s="116"/>
      <c r="M59" s="63"/>
    </row>
    <row r="60" spans="1:13" ht="24.75" customHeight="1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663" t="s">
        <v>92</v>
      </c>
      <c r="I60" s="664"/>
      <c r="J60" s="664"/>
      <c r="K60" s="665"/>
      <c r="L60" s="243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62"/>
      <c r="D61" s="262"/>
      <c r="E61" s="262"/>
      <c r="F61" s="262"/>
      <c r="G61" s="262"/>
      <c r="H61" s="657" t="s">
        <v>93</v>
      </c>
      <c r="I61" s="658"/>
      <c r="J61" s="658"/>
      <c r="K61" s="659"/>
      <c r="L61" s="115"/>
      <c r="M61" s="62"/>
    </row>
    <row r="62" spans="1:13" ht="24.75" customHeight="1">
      <c r="A62" s="40" t="s">
        <v>91</v>
      </c>
      <c r="B62" s="5"/>
      <c r="C62" s="17"/>
      <c r="D62" s="17"/>
      <c r="E62" s="17"/>
      <c r="F62" s="17"/>
      <c r="G62" s="17"/>
      <c r="H62" s="657" t="s">
        <v>94</v>
      </c>
      <c r="I62" s="658"/>
      <c r="J62" s="658"/>
      <c r="K62" s="659"/>
      <c r="L62" s="115"/>
      <c r="M62" s="62"/>
    </row>
    <row r="63" spans="1:13" ht="24.75" customHeight="1">
      <c r="A63" s="40"/>
      <c r="B63" s="5"/>
      <c r="C63" s="17"/>
      <c r="D63" s="17"/>
      <c r="E63" s="17"/>
      <c r="F63" s="17"/>
      <c r="G63" s="17"/>
      <c r="H63" s="269" t="s">
        <v>95</v>
      </c>
      <c r="I63" s="270"/>
      <c r="J63" s="270"/>
      <c r="K63" s="271"/>
      <c r="L63" s="115"/>
      <c r="M63" s="62"/>
    </row>
    <row r="64" spans="1:13" ht="24.75" customHeight="1">
      <c r="A64" s="40"/>
      <c r="B64" s="5"/>
      <c r="C64" s="17"/>
      <c r="D64" s="17"/>
      <c r="E64" s="17"/>
      <c r="F64" s="17"/>
      <c r="G64" s="17"/>
      <c r="H64" s="276"/>
      <c r="I64" s="51" t="s">
        <v>97</v>
      </c>
      <c r="J64" s="111">
        <v>0</v>
      </c>
      <c r="K64" s="277" t="s">
        <v>96</v>
      </c>
      <c r="L64" s="115"/>
      <c r="M64" s="62"/>
    </row>
    <row r="65" spans="1:32" ht="24.75" customHeight="1">
      <c r="A65" s="40"/>
      <c r="B65" s="5"/>
      <c r="C65" s="17"/>
      <c r="D65" s="17"/>
      <c r="E65" s="17"/>
      <c r="F65" s="17"/>
      <c r="G65" s="17"/>
      <c r="H65" s="276"/>
      <c r="I65" s="51" t="s">
        <v>98</v>
      </c>
      <c r="J65" s="111">
        <v>0</v>
      </c>
      <c r="K65" s="277" t="s">
        <v>96</v>
      </c>
      <c r="L65" s="115"/>
      <c r="M65" s="62"/>
    </row>
    <row r="66" spans="1:32" ht="24.75" customHeight="1">
      <c r="A66" s="40"/>
      <c r="B66" s="5"/>
      <c r="C66" s="17"/>
      <c r="D66" s="17"/>
      <c r="E66" s="17"/>
      <c r="F66" s="17"/>
      <c r="G66" s="17"/>
      <c r="H66" s="269"/>
      <c r="I66" s="51" t="s">
        <v>35</v>
      </c>
      <c r="J66" s="111">
        <v>0</v>
      </c>
      <c r="K66" s="271" t="s">
        <v>51</v>
      </c>
      <c r="L66" s="115"/>
      <c r="M66" s="62"/>
    </row>
    <row r="67" spans="1:32" ht="24.75" customHeight="1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663" t="s">
        <v>103</v>
      </c>
      <c r="I68" s="664"/>
      <c r="J68" s="664"/>
      <c r="K68" s="665"/>
      <c r="L68" s="243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657" t="s">
        <v>104</v>
      </c>
      <c r="I69" s="658"/>
      <c r="J69" s="658"/>
      <c r="K69" s="659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657" t="s">
        <v>105</v>
      </c>
      <c r="I70" s="658"/>
      <c r="J70" s="658"/>
      <c r="K70" s="659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71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63" t="s">
        <v>108</v>
      </c>
      <c r="I73" s="664"/>
      <c r="J73" s="664"/>
      <c r="K73" s="665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57" t="s">
        <v>109</v>
      </c>
      <c r="I74" s="658"/>
      <c r="J74" s="658"/>
      <c r="K74" s="659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657" t="s">
        <v>110</v>
      </c>
      <c r="I75" s="658"/>
      <c r="J75" s="658"/>
      <c r="K75" s="659"/>
      <c r="L75" s="115"/>
      <c r="M75" s="62"/>
    </row>
    <row r="76" spans="1:32" ht="24.75" customHeight="1">
      <c r="A76" s="40"/>
      <c r="B76" s="5"/>
      <c r="C76" s="23"/>
      <c r="D76" s="23"/>
      <c r="E76" s="23"/>
      <c r="F76" s="23"/>
      <c r="G76" s="23"/>
      <c r="H76" s="657" t="s">
        <v>111</v>
      </c>
      <c r="I76" s="658"/>
      <c r="J76" s="658"/>
      <c r="K76" s="659"/>
      <c r="L76" s="115"/>
      <c r="M76" s="62"/>
    </row>
    <row r="77" spans="1:32" ht="24.75" customHeight="1">
      <c r="A77" s="40"/>
      <c r="B77" s="5"/>
      <c r="C77" s="23"/>
      <c r="D77" s="23"/>
      <c r="E77" s="23"/>
      <c r="F77" s="23"/>
      <c r="G77" s="23"/>
      <c r="H77" s="269"/>
      <c r="I77" s="51" t="s">
        <v>112</v>
      </c>
      <c r="J77" s="111">
        <v>0</v>
      </c>
      <c r="K77" s="277"/>
      <c r="L77" s="115"/>
      <c r="M77" s="62"/>
      <c r="R77" s="26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274"/>
      <c r="J78" s="274"/>
      <c r="K78" s="275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663" t="s">
        <v>123</v>
      </c>
      <c r="I79" s="664"/>
      <c r="J79" s="664"/>
      <c r="K79" s="665"/>
      <c r="L79" s="243">
        <f>'[1]9 เดือน'!$L$79</f>
        <v>4.4518716577540109</v>
      </c>
      <c r="M79" s="61">
        <f>IF(L79=0,"-",L79*B79/B$94)</f>
        <v>0.22259358288770056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269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>
      <c r="A81" s="56"/>
      <c r="B81" s="27"/>
      <c r="C81" s="17"/>
      <c r="D81" s="17"/>
      <c r="E81" s="17"/>
      <c r="F81" s="17"/>
      <c r="G81" s="17"/>
      <c r="H81" s="270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>
      <c r="A82" s="56"/>
      <c r="B82" s="27"/>
      <c r="C82" s="17"/>
      <c r="D82" s="17"/>
      <c r="E82" s="17"/>
      <c r="F82" s="17"/>
      <c r="G82" s="17"/>
      <c r="H82" s="269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>
      <c r="A83" s="56"/>
      <c r="B83" s="27"/>
      <c r="C83" s="17"/>
      <c r="D83" s="17"/>
      <c r="E83" s="17"/>
      <c r="F83" s="17"/>
      <c r="G83" s="17"/>
      <c r="H83" s="269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>
      <c r="A84" s="56"/>
      <c r="B84" s="27"/>
      <c r="C84" s="17"/>
      <c r="D84" s="17"/>
      <c r="E84" s="17"/>
      <c r="F84" s="17"/>
      <c r="G84" s="17"/>
      <c r="H84" s="269"/>
      <c r="I84" s="51" t="s">
        <v>114</v>
      </c>
      <c r="J84" s="246">
        <f>L79</f>
        <v>4.4518716577540109</v>
      </c>
      <c r="K84" s="277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274"/>
      <c r="J85" s="274"/>
      <c r="K85" s="275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663" t="s">
        <v>117</v>
      </c>
      <c r="I86" s="664"/>
      <c r="J86" s="664"/>
      <c r="K86" s="665"/>
      <c r="L86" s="243">
        <f>'[1]10 เดือน'!$L$86</f>
        <v>4.1454545454545446</v>
      </c>
      <c r="M86" s="61">
        <f>IF(L86=0,"-",L86*B86/B$94)</f>
        <v>0.20727272727272722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657" t="s">
        <v>118</v>
      </c>
      <c r="I87" s="658"/>
      <c r="J87" s="658"/>
      <c r="K87" s="659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657" t="s">
        <v>119</v>
      </c>
      <c r="I88" s="658"/>
      <c r="J88" s="658"/>
      <c r="K88" s="659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269" t="s">
        <v>120</v>
      </c>
      <c r="I89" s="270"/>
      <c r="J89" s="270"/>
      <c r="K89" s="271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269" t="s">
        <v>121</v>
      </c>
      <c r="I90" s="270"/>
      <c r="J90" s="270"/>
      <c r="K90" s="271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1">
        <f>'[1]10 เดือน'!$J$91</f>
        <v>95.727272727272734</v>
      </c>
      <c r="K91" s="271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660" t="s">
        <v>129</v>
      </c>
      <c r="B93" s="661"/>
      <c r="C93" s="661"/>
      <c r="D93" s="661"/>
      <c r="E93" s="661"/>
      <c r="F93" s="661"/>
      <c r="G93" s="661"/>
      <c r="H93" s="661"/>
      <c r="I93" s="661"/>
      <c r="J93" s="661"/>
      <c r="K93" s="661"/>
      <c r="L93" s="662"/>
      <c r="M93" s="267">
        <f>SUM(M86,M79,M73,M68,M60,M54,M49,M41,M35,M29,M24,M17,M9,M6)</f>
        <v>1.5787401059215067</v>
      </c>
    </row>
    <row r="94" spans="1:32">
      <c r="B94" s="268">
        <f>SUM(B6:B92)</f>
        <v>100</v>
      </c>
    </row>
  </sheetData>
  <mergeCells count="53">
    <mergeCell ref="H9:I10"/>
    <mergeCell ref="J9:K9"/>
    <mergeCell ref="A1:M1"/>
    <mergeCell ref="A2:M2"/>
    <mergeCell ref="C4:G4"/>
    <mergeCell ref="H4:K5"/>
    <mergeCell ref="L4:L5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F94"/>
  <sheetViews>
    <sheetView topLeftCell="A20" zoomScale="80" zoomScaleNormal="8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>
      <c r="A1" s="695" t="s">
        <v>0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</row>
    <row r="2" spans="1:16" ht="27.75">
      <c r="A2" s="695" t="s">
        <v>45</v>
      </c>
      <c r="B2" s="696"/>
      <c r="C2" s="696"/>
      <c r="D2" s="696"/>
      <c r="E2" s="696"/>
      <c r="F2" s="696"/>
      <c r="G2" s="696"/>
      <c r="H2" s="696"/>
      <c r="I2" s="696"/>
      <c r="J2" s="696"/>
      <c r="K2" s="696"/>
      <c r="L2" s="696"/>
      <c r="M2" s="696"/>
    </row>
    <row r="3" spans="1:16" ht="26.25" customHeight="1">
      <c r="A3" s="247" t="s">
        <v>136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>
      <c r="A4" s="26" t="s">
        <v>1</v>
      </c>
      <c r="B4" s="26" t="s">
        <v>2</v>
      </c>
      <c r="C4" s="697" t="s">
        <v>3</v>
      </c>
      <c r="D4" s="697"/>
      <c r="E4" s="697"/>
      <c r="F4" s="697"/>
      <c r="G4" s="697"/>
      <c r="H4" s="698" t="s">
        <v>4</v>
      </c>
      <c r="I4" s="699"/>
      <c r="J4" s="699"/>
      <c r="K4" s="700"/>
      <c r="L4" s="704" t="s">
        <v>5</v>
      </c>
      <c r="M4" s="250" t="s">
        <v>6</v>
      </c>
    </row>
    <row r="5" spans="1:16" s="251" customFormat="1" ht="24.75" customHeight="1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701"/>
      <c r="I5" s="702"/>
      <c r="J5" s="702"/>
      <c r="K5" s="703"/>
      <c r="L5" s="704"/>
      <c r="M5" s="253" t="s">
        <v>9</v>
      </c>
    </row>
    <row r="6" spans="1:16" ht="23.25" customHeight="1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82" t="s">
        <v>128</v>
      </c>
      <c r="I6" s="68"/>
      <c r="J6" s="68"/>
      <c r="K6" s="69"/>
      <c r="L6" s="114">
        <f>'[1]11 เดือน'!$L$6</f>
        <v>2.9230000000000005</v>
      </c>
      <c r="M6" s="61">
        <f>IF(L6=0,"-",L6*B6/B$94)</f>
        <v>0.29230000000000006</v>
      </c>
    </row>
    <row r="7" spans="1:16" ht="23.25" customHeight="1">
      <c r="A7" s="39" t="s">
        <v>12</v>
      </c>
      <c r="B7" s="3"/>
      <c r="C7" s="244"/>
      <c r="D7" s="244"/>
      <c r="E7" s="244"/>
      <c r="F7" s="244"/>
      <c r="G7" s="244"/>
      <c r="H7" s="280" t="s">
        <v>40</v>
      </c>
      <c r="I7" s="70"/>
      <c r="J7" s="113">
        <f>'[1]11 เดือน'!$J$7</f>
        <v>79.23</v>
      </c>
      <c r="K7" s="71" t="s">
        <v>51</v>
      </c>
      <c r="L7" s="115"/>
      <c r="M7" s="62"/>
    </row>
    <row r="8" spans="1:16" ht="23.25" customHeight="1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680" t="s">
        <v>14</v>
      </c>
      <c r="I9" s="681"/>
      <c r="J9" s="682" t="s">
        <v>15</v>
      </c>
      <c r="K9" s="682"/>
      <c r="L9" s="114">
        <f>'[1]11 เดือน'!$L$9</f>
        <v>4.1522157996146438</v>
      </c>
      <c r="M9" s="61">
        <f>IF(L9=0,"-",L9*B9/B$94)</f>
        <v>0.41522157996146442</v>
      </c>
      <c r="O9" s="254"/>
      <c r="P9" s="255"/>
    </row>
    <row r="10" spans="1:16" ht="23.25" customHeight="1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680"/>
      <c r="I10" s="681"/>
      <c r="J10" s="288" t="s">
        <v>17</v>
      </c>
      <c r="K10" s="288" t="s">
        <v>18</v>
      </c>
      <c r="L10" s="115"/>
      <c r="M10" s="62"/>
      <c r="O10" s="254"/>
      <c r="P10" s="257"/>
    </row>
    <row r="11" spans="1:16" ht="23.25" customHeight="1">
      <c r="A11" s="40"/>
      <c r="B11" s="3"/>
      <c r="C11" s="258"/>
      <c r="D11" s="258"/>
      <c r="E11" s="258"/>
      <c r="F11" s="258"/>
      <c r="G11" s="258"/>
      <c r="H11" s="683" t="s">
        <v>19</v>
      </c>
      <c r="I11" s="684"/>
      <c r="J11" s="73">
        <v>19000</v>
      </c>
      <c r="K11" s="290">
        <f>'[1]11 เดือน'!$K$11</f>
        <v>19000</v>
      </c>
      <c r="L11" s="115"/>
      <c r="M11" s="62"/>
    </row>
    <row r="12" spans="1:16" ht="23.25" customHeight="1">
      <c r="A12" s="40"/>
      <c r="B12" s="5"/>
      <c r="C12" s="259"/>
      <c r="D12" s="17"/>
      <c r="E12" s="17"/>
      <c r="F12" s="17"/>
      <c r="G12" s="17"/>
      <c r="H12" s="282" t="s">
        <v>41</v>
      </c>
      <c r="I12" s="283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7"/>
      <c r="D13" s="17"/>
      <c r="E13" s="17"/>
      <c r="F13" s="17"/>
      <c r="G13" s="17"/>
      <c r="H13" s="657" t="s">
        <v>42</v>
      </c>
      <c r="I13" s="659"/>
      <c r="J13" s="86"/>
      <c r="K13" s="87"/>
      <c r="L13" s="115"/>
      <c r="M13" s="62"/>
    </row>
    <row r="14" spans="1:16" ht="23.25" customHeight="1">
      <c r="A14" s="40"/>
      <c r="B14" s="5"/>
      <c r="C14" s="17"/>
      <c r="D14" s="17"/>
      <c r="E14" s="17"/>
      <c r="F14" s="17"/>
      <c r="G14" s="17"/>
      <c r="H14" s="676" t="s">
        <v>43</v>
      </c>
      <c r="I14" s="677"/>
      <c r="J14" s="88"/>
      <c r="K14" s="89"/>
      <c r="L14" s="115"/>
      <c r="M14" s="62"/>
    </row>
    <row r="15" spans="1:16" ht="23.25" customHeight="1" thickBot="1">
      <c r="A15" s="40"/>
      <c r="B15" s="5"/>
      <c r="C15" s="17"/>
      <c r="D15" s="17"/>
      <c r="E15" s="17"/>
      <c r="F15" s="17"/>
      <c r="G15" s="17"/>
      <c r="H15" s="678" t="s">
        <v>20</v>
      </c>
      <c r="I15" s="678"/>
      <c r="J15" s="90">
        <f>SUM(J11:J12)</f>
        <v>20760</v>
      </c>
      <c r="K15" s="291">
        <f>SUM(K11:K12)</f>
        <v>19000</v>
      </c>
      <c r="L15" s="115"/>
      <c r="M15" s="62"/>
    </row>
    <row r="16" spans="1:16" ht="23.25" customHeight="1" thickTop="1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663" t="s">
        <v>46</v>
      </c>
      <c r="I17" s="664"/>
      <c r="J17" s="664"/>
      <c r="K17" s="665"/>
      <c r="L17" s="114">
        <v>4.1900000000000004</v>
      </c>
      <c r="M17" s="61">
        <f>IF(L17=0,"-",L17*B17/B$94)</f>
        <v>0.20950000000000002</v>
      </c>
    </row>
    <row r="18" spans="1:13" ht="23.25" customHeight="1">
      <c r="A18" s="40" t="s">
        <v>44</v>
      </c>
      <c r="B18" s="5"/>
      <c r="C18" s="17"/>
      <c r="D18" s="17"/>
      <c r="E18" s="17"/>
      <c r="F18" s="17"/>
      <c r="G18" s="17"/>
      <c r="H18" s="657" t="s">
        <v>47</v>
      </c>
      <c r="I18" s="658"/>
      <c r="J18" s="658"/>
      <c r="K18" s="659"/>
      <c r="L18" s="115"/>
      <c r="M18" s="62"/>
    </row>
    <row r="19" spans="1:13" ht="23.25" customHeight="1">
      <c r="A19" s="40"/>
      <c r="B19" s="5"/>
      <c r="C19" s="17"/>
      <c r="D19" s="17"/>
      <c r="E19" s="17"/>
      <c r="F19" s="17"/>
      <c r="G19" s="17"/>
      <c r="H19" s="657" t="s">
        <v>48</v>
      </c>
      <c r="I19" s="658"/>
      <c r="J19" s="658"/>
      <c r="K19" s="659"/>
      <c r="L19" s="115"/>
      <c r="M19" s="62"/>
    </row>
    <row r="20" spans="1:13" ht="23.25" customHeight="1">
      <c r="A20" s="40"/>
      <c r="B20" s="5"/>
      <c r="C20" s="17"/>
      <c r="D20" s="17"/>
      <c r="E20" s="17"/>
      <c r="F20" s="17"/>
      <c r="G20" s="17"/>
      <c r="H20" s="657" t="s">
        <v>49</v>
      </c>
      <c r="I20" s="658"/>
      <c r="J20" s="658"/>
      <c r="K20" s="659"/>
      <c r="L20" s="115"/>
      <c r="M20" s="62"/>
    </row>
    <row r="21" spans="1:13" ht="23.25" customHeight="1">
      <c r="A21" s="40"/>
      <c r="B21" s="5"/>
      <c r="C21" s="17"/>
      <c r="D21" s="17"/>
      <c r="E21" s="17"/>
      <c r="F21" s="17"/>
      <c r="G21" s="17"/>
      <c r="H21" s="657" t="s">
        <v>50</v>
      </c>
      <c r="I21" s="658"/>
      <c r="J21" s="658"/>
      <c r="K21" s="659"/>
      <c r="L21" s="115"/>
      <c r="M21" s="62"/>
    </row>
    <row r="22" spans="1:13" ht="23.25" customHeight="1">
      <c r="A22" s="40"/>
      <c r="B22" s="5"/>
      <c r="C22" s="17"/>
      <c r="D22" s="17"/>
      <c r="E22" s="17"/>
      <c r="F22" s="17"/>
      <c r="G22" s="17"/>
      <c r="I22" s="51" t="s">
        <v>54</v>
      </c>
      <c r="J22" s="112">
        <v>80.95</v>
      </c>
      <c r="K22" s="281" t="s">
        <v>51</v>
      </c>
      <c r="L22" s="115"/>
      <c r="M22" s="62"/>
    </row>
    <row r="23" spans="1:13" ht="23.25" customHeight="1">
      <c r="A23" s="50"/>
      <c r="B23" s="14"/>
      <c r="C23" s="20"/>
      <c r="D23" s="20"/>
      <c r="E23" s="20"/>
      <c r="F23" s="20"/>
      <c r="G23" s="20"/>
      <c r="H23" s="679"/>
      <c r="I23" s="669"/>
      <c r="J23" s="669"/>
      <c r="K23" s="670"/>
      <c r="L23" s="116"/>
      <c r="M23" s="63"/>
    </row>
    <row r="24" spans="1:13" ht="23.25" customHeight="1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664" t="s">
        <v>82</v>
      </c>
      <c r="I24" s="664"/>
      <c r="J24" s="664"/>
      <c r="K24" s="665"/>
      <c r="L24" s="243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7"/>
      <c r="D25" s="17"/>
      <c r="E25" s="17"/>
      <c r="F25" s="17"/>
      <c r="G25" s="17"/>
      <c r="H25" s="657" t="s">
        <v>83</v>
      </c>
      <c r="I25" s="658"/>
      <c r="J25" s="658"/>
      <c r="K25" s="659"/>
      <c r="L25" s="115"/>
      <c r="M25" s="62"/>
    </row>
    <row r="26" spans="1:13" ht="23.25" customHeight="1">
      <c r="A26" s="40"/>
      <c r="B26" s="5"/>
      <c r="C26" s="17"/>
      <c r="D26" s="17"/>
      <c r="E26" s="17"/>
      <c r="F26" s="17"/>
      <c r="G26" s="17"/>
      <c r="H26" s="657" t="s">
        <v>55</v>
      </c>
      <c r="I26" s="658"/>
      <c r="J26" s="658"/>
      <c r="K26" s="659"/>
      <c r="L26" s="115"/>
      <c r="M26" s="62"/>
    </row>
    <row r="27" spans="1:13" ht="23.25" customHeight="1">
      <c r="A27" s="40"/>
      <c r="B27" s="5"/>
      <c r="C27" s="17"/>
      <c r="D27" s="17"/>
      <c r="E27" s="17"/>
      <c r="F27" s="17"/>
      <c r="G27" s="17"/>
      <c r="H27" s="286"/>
      <c r="I27" s="48" t="s">
        <v>56</v>
      </c>
      <c r="J27" s="112">
        <f>[6]ผอป.คญ.!$J$27</f>
        <v>52.54</v>
      </c>
      <c r="K27" s="281" t="s">
        <v>51</v>
      </c>
      <c r="L27" s="115"/>
      <c r="M27" s="62"/>
    </row>
    <row r="28" spans="1:13" ht="23.25" customHeight="1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663" t="s">
        <v>57</v>
      </c>
      <c r="I29" s="664"/>
      <c r="J29" s="664"/>
      <c r="K29" s="665"/>
      <c r="L29" s="243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7"/>
      <c r="D30" s="17"/>
      <c r="E30" s="17"/>
      <c r="F30" s="17"/>
      <c r="G30" s="17"/>
      <c r="H30" s="657" t="s">
        <v>58</v>
      </c>
      <c r="I30" s="658"/>
      <c r="J30" s="658"/>
      <c r="K30" s="659"/>
      <c r="L30" s="115"/>
      <c r="M30" s="62"/>
    </row>
    <row r="31" spans="1:13" ht="24.75" customHeight="1">
      <c r="A31" s="40" t="s">
        <v>24</v>
      </c>
      <c r="B31" s="5"/>
      <c r="C31" s="17"/>
      <c r="D31" s="17"/>
      <c r="E31" s="17"/>
      <c r="F31" s="17"/>
      <c r="G31" s="17"/>
      <c r="H31" s="657" t="s">
        <v>77</v>
      </c>
      <c r="I31" s="658"/>
      <c r="J31" s="658"/>
      <c r="K31" s="659"/>
      <c r="L31" s="115"/>
      <c r="M31" s="62"/>
    </row>
    <row r="32" spans="1:13" ht="24.75" customHeight="1">
      <c r="A32" s="40"/>
      <c r="B32" s="5"/>
      <c r="C32" s="17"/>
      <c r="D32" s="17"/>
      <c r="E32" s="17"/>
      <c r="F32" s="17"/>
      <c r="G32" s="17"/>
      <c r="H32" s="657" t="s">
        <v>59</v>
      </c>
      <c r="I32" s="658"/>
      <c r="J32" s="658"/>
      <c r="K32" s="659"/>
      <c r="L32" s="115"/>
      <c r="M32" s="62"/>
    </row>
    <row r="33" spans="1:13" ht="24.75" customHeight="1">
      <c r="A33" s="40"/>
      <c r="B33" s="5"/>
      <c r="C33" s="17"/>
      <c r="D33" s="17"/>
      <c r="E33" s="17"/>
      <c r="F33" s="17"/>
      <c r="G33" s="17"/>
      <c r="H33" s="279"/>
      <c r="I33" s="48" t="s">
        <v>56</v>
      </c>
      <c r="J33" s="112">
        <f>[6]ผอป.คญ.!$J$33</f>
        <v>70.59</v>
      </c>
      <c r="K33" s="281" t="s">
        <v>51</v>
      </c>
      <c r="L33" s="115"/>
      <c r="M33" s="62"/>
    </row>
    <row r="34" spans="1:13" ht="24.75" customHeight="1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663" t="s">
        <v>73</v>
      </c>
      <c r="I35" s="664"/>
      <c r="J35" s="664"/>
      <c r="K35" s="665"/>
      <c r="L35" s="243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7"/>
      <c r="D36" s="17"/>
      <c r="E36" s="17"/>
      <c r="F36" s="17"/>
      <c r="G36" s="17"/>
      <c r="H36" s="671" t="s">
        <v>74</v>
      </c>
      <c r="I36" s="672"/>
      <c r="J36" s="672"/>
      <c r="K36" s="673"/>
      <c r="L36" s="115"/>
      <c r="M36" s="62"/>
    </row>
    <row r="37" spans="1:13" ht="24.75" customHeight="1">
      <c r="A37" s="40"/>
      <c r="B37" s="5"/>
      <c r="C37" s="17"/>
      <c r="D37" s="17"/>
      <c r="E37" s="17"/>
      <c r="F37" s="17"/>
      <c r="G37" s="17"/>
      <c r="H37" s="671" t="s">
        <v>75</v>
      </c>
      <c r="I37" s="672"/>
      <c r="J37" s="672"/>
      <c r="K37" s="673"/>
      <c r="L37" s="115"/>
      <c r="M37" s="62"/>
    </row>
    <row r="38" spans="1:13" ht="24.75" customHeight="1">
      <c r="A38" s="40"/>
      <c r="B38" s="5"/>
      <c r="C38" s="17"/>
      <c r="D38" s="17"/>
      <c r="E38" s="17"/>
      <c r="F38" s="17"/>
      <c r="G38" s="17"/>
      <c r="H38" s="671" t="s">
        <v>76</v>
      </c>
      <c r="I38" s="674"/>
      <c r="J38" s="674"/>
      <c r="K38" s="675"/>
      <c r="L38" s="115"/>
      <c r="M38" s="62"/>
    </row>
    <row r="39" spans="1:13" ht="24.75" customHeight="1">
      <c r="A39" s="40"/>
      <c r="B39" s="5"/>
      <c r="C39" s="17"/>
      <c r="D39" s="17"/>
      <c r="E39" s="17"/>
      <c r="F39" s="17"/>
      <c r="G39" s="17"/>
      <c r="H39" s="279"/>
      <c r="I39" s="48" t="s">
        <v>56</v>
      </c>
      <c r="J39" s="112">
        <f>(1058.978*100/1790.154)</f>
        <v>59.155692750456105</v>
      </c>
      <c r="K39" s="281" t="s">
        <v>51</v>
      </c>
      <c r="L39" s="115"/>
      <c r="M39" s="62"/>
    </row>
    <row r="40" spans="1:13" ht="24.75" customHeight="1">
      <c r="A40" s="50"/>
      <c r="B40" s="14"/>
      <c r="C40" s="20"/>
      <c r="D40" s="20"/>
      <c r="E40" s="20"/>
      <c r="F40" s="20"/>
      <c r="G40" s="20"/>
      <c r="H40" s="96"/>
      <c r="I40" s="284"/>
      <c r="J40" s="284"/>
      <c r="K40" s="285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663" t="s">
        <v>62</v>
      </c>
      <c r="I41" s="664"/>
      <c r="J41" s="664"/>
      <c r="K41" s="665"/>
      <c r="L41" s="243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657" t="s">
        <v>63</v>
      </c>
      <c r="I42" s="658"/>
      <c r="J42" s="658"/>
      <c r="K42" s="659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657" t="s">
        <v>64</v>
      </c>
      <c r="I43" s="658"/>
      <c r="J43" s="658"/>
      <c r="K43" s="659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286" t="s">
        <v>65</v>
      </c>
      <c r="I44" s="51"/>
      <c r="J44" s="92"/>
      <c r="K44" s="287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286"/>
      <c r="I45" s="51" t="s">
        <v>66</v>
      </c>
      <c r="J45" s="289">
        <f>'[1]11 เดือน'!$J$45</f>
        <v>50</v>
      </c>
      <c r="K45" s="287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286"/>
      <c r="I46" s="51" t="s">
        <v>67</v>
      </c>
      <c r="J46" s="289">
        <f>'[1]11 เดือน'!$J$46</f>
        <v>31</v>
      </c>
      <c r="K46" s="287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279"/>
      <c r="I47" s="48" t="s">
        <v>81</v>
      </c>
      <c r="J47" s="112">
        <f>J46*100/J45</f>
        <v>62</v>
      </c>
      <c r="K47" s="281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666"/>
      <c r="I48" s="669"/>
      <c r="J48" s="669"/>
      <c r="K48" s="670"/>
      <c r="L48" s="115"/>
      <c r="M48" s="62"/>
    </row>
    <row r="49" spans="1:13" ht="24.75" customHeight="1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663" t="s">
        <v>78</v>
      </c>
      <c r="I49" s="664"/>
      <c r="J49" s="664"/>
      <c r="K49" s="665"/>
      <c r="L49" s="243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658" t="s">
        <v>79</v>
      </c>
      <c r="I50" s="658"/>
      <c r="J50" s="658"/>
      <c r="K50" s="659"/>
      <c r="L50" s="115"/>
      <c r="M50" s="62"/>
    </row>
    <row r="51" spans="1:13" ht="24.75" customHeight="1">
      <c r="A51" s="40"/>
      <c r="B51" s="3"/>
      <c r="C51" s="260"/>
      <c r="D51" s="260"/>
      <c r="E51" s="260"/>
      <c r="F51" s="260" t="s">
        <v>71</v>
      </c>
      <c r="G51" s="260" t="s">
        <v>72</v>
      </c>
      <c r="H51" s="658" t="s">
        <v>80</v>
      </c>
      <c r="I51" s="658"/>
      <c r="J51" s="658"/>
      <c r="K51" s="659"/>
      <c r="L51" s="115"/>
      <c r="M51" s="62"/>
    </row>
    <row r="52" spans="1:13" ht="24.75" customHeight="1">
      <c r="A52" s="40"/>
      <c r="B52" s="3"/>
      <c r="C52" s="261"/>
      <c r="D52" s="261"/>
      <c r="E52" s="261"/>
      <c r="F52" s="261"/>
      <c r="G52" s="261"/>
      <c r="H52" s="279"/>
      <c r="I52" s="48" t="s">
        <v>56</v>
      </c>
      <c r="J52" s="111">
        <v>0</v>
      </c>
      <c r="K52" s="281" t="s">
        <v>51</v>
      </c>
      <c r="L52" s="115"/>
      <c r="M52" s="62"/>
    </row>
    <row r="53" spans="1:13" ht="25.5">
      <c r="A53" s="50"/>
      <c r="B53" s="14"/>
      <c r="C53" s="20"/>
      <c r="D53" s="20"/>
      <c r="E53" s="20"/>
      <c r="F53" s="20"/>
      <c r="G53" s="20"/>
      <c r="H53" s="666"/>
      <c r="I53" s="667"/>
      <c r="J53" s="667"/>
      <c r="K53" s="668"/>
      <c r="L53" s="116"/>
      <c r="M53" s="63"/>
    </row>
    <row r="54" spans="1:13" ht="24.75" customHeight="1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663" t="s">
        <v>99</v>
      </c>
      <c r="I54" s="664"/>
      <c r="J54" s="664"/>
      <c r="K54" s="665"/>
      <c r="L54" s="243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657" t="s">
        <v>100</v>
      </c>
      <c r="I55" s="658"/>
      <c r="J55" s="658"/>
      <c r="K55" s="659"/>
      <c r="L55" s="115"/>
      <c r="M55" s="62"/>
    </row>
    <row r="56" spans="1:13" ht="24.75" customHeight="1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2">
        <v>5887.19</v>
      </c>
      <c r="K56" s="281" t="s">
        <v>34</v>
      </c>
      <c r="L56" s="115"/>
      <c r="M56" s="62"/>
    </row>
    <row r="57" spans="1:13" ht="24.75" customHeight="1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2">
        <v>3776.47</v>
      </c>
      <c r="K57" s="281" t="s">
        <v>34</v>
      </c>
      <c r="L57" s="115"/>
      <c r="M57" s="62"/>
    </row>
    <row r="58" spans="1:13" ht="24.75" customHeight="1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2">
        <f>J57*100/J56</f>
        <v>64.147241723131074</v>
      </c>
      <c r="K58" s="281" t="s">
        <v>51</v>
      </c>
      <c r="L58" s="115"/>
      <c r="M58" s="62"/>
    </row>
    <row r="59" spans="1:13" ht="27.75" customHeight="1">
      <c r="A59" s="50"/>
      <c r="B59" s="14"/>
      <c r="C59" s="20"/>
      <c r="D59" s="20"/>
      <c r="E59" s="20"/>
      <c r="F59" s="20"/>
      <c r="G59" s="20"/>
      <c r="H59" s="102"/>
      <c r="I59" s="284"/>
      <c r="J59" s="103"/>
      <c r="K59" s="285"/>
      <c r="L59" s="116"/>
      <c r="M59" s="63"/>
    </row>
    <row r="60" spans="1:13" ht="24.75" customHeight="1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663" t="s">
        <v>92</v>
      </c>
      <c r="I60" s="664"/>
      <c r="J60" s="664"/>
      <c r="K60" s="665"/>
      <c r="L60" s="243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62"/>
      <c r="D61" s="262"/>
      <c r="E61" s="262"/>
      <c r="F61" s="262"/>
      <c r="G61" s="262"/>
      <c r="H61" s="657" t="s">
        <v>93</v>
      </c>
      <c r="I61" s="658"/>
      <c r="J61" s="658"/>
      <c r="K61" s="659"/>
      <c r="L61" s="115"/>
      <c r="M61" s="62"/>
    </row>
    <row r="62" spans="1:13" ht="24.75" customHeight="1">
      <c r="A62" s="40" t="s">
        <v>91</v>
      </c>
      <c r="B62" s="5"/>
      <c r="C62" s="17"/>
      <c r="D62" s="17"/>
      <c r="E62" s="17"/>
      <c r="F62" s="17"/>
      <c r="G62" s="17"/>
      <c r="H62" s="657" t="s">
        <v>94</v>
      </c>
      <c r="I62" s="658"/>
      <c r="J62" s="658"/>
      <c r="K62" s="659"/>
      <c r="L62" s="115"/>
      <c r="M62" s="62"/>
    </row>
    <row r="63" spans="1:13" ht="24.75" customHeight="1">
      <c r="A63" s="40"/>
      <c r="B63" s="5"/>
      <c r="C63" s="17"/>
      <c r="D63" s="17"/>
      <c r="E63" s="17"/>
      <c r="F63" s="17"/>
      <c r="G63" s="17"/>
      <c r="H63" s="279" t="s">
        <v>95</v>
      </c>
      <c r="I63" s="280"/>
      <c r="J63" s="280"/>
      <c r="K63" s="281"/>
      <c r="L63" s="115"/>
      <c r="M63" s="62"/>
    </row>
    <row r="64" spans="1:13" ht="24.75" customHeight="1">
      <c r="A64" s="40"/>
      <c r="B64" s="5"/>
      <c r="C64" s="17"/>
      <c r="D64" s="17"/>
      <c r="E64" s="17"/>
      <c r="F64" s="17"/>
      <c r="G64" s="17"/>
      <c r="H64" s="286"/>
      <c r="I64" s="51" t="s">
        <v>97</v>
      </c>
      <c r="J64" s="111">
        <v>0</v>
      </c>
      <c r="K64" s="287" t="s">
        <v>96</v>
      </c>
      <c r="L64" s="115"/>
      <c r="M64" s="62"/>
    </row>
    <row r="65" spans="1:32" ht="24.75" customHeight="1">
      <c r="A65" s="40"/>
      <c r="B65" s="5"/>
      <c r="C65" s="17"/>
      <c r="D65" s="17"/>
      <c r="E65" s="17"/>
      <c r="F65" s="17"/>
      <c r="G65" s="17"/>
      <c r="H65" s="286"/>
      <c r="I65" s="51" t="s">
        <v>98</v>
      </c>
      <c r="J65" s="111">
        <v>0</v>
      </c>
      <c r="K65" s="287" t="s">
        <v>96</v>
      </c>
      <c r="L65" s="115"/>
      <c r="M65" s="62"/>
    </row>
    <row r="66" spans="1:32" ht="24.75" customHeight="1">
      <c r="A66" s="40"/>
      <c r="B66" s="5"/>
      <c r="C66" s="17"/>
      <c r="D66" s="17"/>
      <c r="E66" s="17"/>
      <c r="F66" s="17"/>
      <c r="G66" s="17"/>
      <c r="H66" s="279"/>
      <c r="I66" s="51" t="s">
        <v>35</v>
      </c>
      <c r="J66" s="111">
        <v>0</v>
      </c>
      <c r="K66" s="281" t="s">
        <v>51</v>
      </c>
      <c r="L66" s="115"/>
      <c r="M66" s="62"/>
    </row>
    <row r="67" spans="1:32" ht="24.75" customHeight="1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663" t="s">
        <v>103</v>
      </c>
      <c r="I68" s="664"/>
      <c r="J68" s="664"/>
      <c r="K68" s="665"/>
      <c r="L68" s="243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657" t="s">
        <v>104</v>
      </c>
      <c r="I69" s="658"/>
      <c r="J69" s="658"/>
      <c r="K69" s="659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657" t="s">
        <v>105</v>
      </c>
      <c r="I70" s="658"/>
      <c r="J70" s="658"/>
      <c r="K70" s="659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81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63" t="s">
        <v>108</v>
      </c>
      <c r="I73" s="664"/>
      <c r="J73" s="664"/>
      <c r="K73" s="665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57" t="s">
        <v>109</v>
      </c>
      <c r="I74" s="658"/>
      <c r="J74" s="658"/>
      <c r="K74" s="659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657" t="s">
        <v>110</v>
      </c>
      <c r="I75" s="658"/>
      <c r="J75" s="658"/>
      <c r="K75" s="659"/>
      <c r="L75" s="115"/>
      <c r="M75" s="62"/>
    </row>
    <row r="76" spans="1:32" ht="24.75" customHeight="1">
      <c r="A76" s="40"/>
      <c r="B76" s="5"/>
      <c r="C76" s="23"/>
      <c r="D76" s="23"/>
      <c r="E76" s="23"/>
      <c r="F76" s="23"/>
      <c r="G76" s="23"/>
      <c r="H76" s="657" t="s">
        <v>111</v>
      </c>
      <c r="I76" s="658"/>
      <c r="J76" s="658"/>
      <c r="K76" s="659"/>
      <c r="L76" s="115"/>
      <c r="M76" s="62"/>
    </row>
    <row r="77" spans="1:32" ht="24.75" customHeight="1">
      <c r="A77" s="40"/>
      <c r="B77" s="5"/>
      <c r="C77" s="23"/>
      <c r="D77" s="23"/>
      <c r="E77" s="23"/>
      <c r="F77" s="23"/>
      <c r="G77" s="23"/>
      <c r="H77" s="279"/>
      <c r="I77" s="51" t="s">
        <v>112</v>
      </c>
      <c r="J77" s="111">
        <v>0</v>
      </c>
      <c r="K77" s="287"/>
      <c r="L77" s="115"/>
      <c r="M77" s="62"/>
      <c r="R77" s="26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284"/>
      <c r="J78" s="284"/>
      <c r="K78" s="285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663" t="s">
        <v>123</v>
      </c>
      <c r="I79" s="664"/>
      <c r="J79" s="664"/>
      <c r="K79" s="665"/>
      <c r="L79" s="114">
        <f>'[1]11 เดือน'!$L$79</f>
        <v>4.5053475935828882</v>
      </c>
      <c r="M79" s="61">
        <f>IF(L79=0,"-",L79*B79/B$94)</f>
        <v>0.22526737967914442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279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>
      <c r="A81" s="56"/>
      <c r="B81" s="27"/>
      <c r="C81" s="17"/>
      <c r="D81" s="17"/>
      <c r="E81" s="17"/>
      <c r="F81" s="17"/>
      <c r="G81" s="17"/>
      <c r="H81" s="280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>
      <c r="A82" s="56"/>
      <c r="B82" s="27"/>
      <c r="C82" s="17"/>
      <c r="D82" s="17"/>
      <c r="E82" s="17"/>
      <c r="F82" s="17"/>
      <c r="G82" s="17"/>
      <c r="H82" s="279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>
      <c r="A83" s="56"/>
      <c r="B83" s="27"/>
      <c r="C83" s="17"/>
      <c r="D83" s="17"/>
      <c r="E83" s="17"/>
      <c r="F83" s="17"/>
      <c r="G83" s="17"/>
      <c r="H83" s="279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>
      <c r="A84" s="56"/>
      <c r="B84" s="27"/>
      <c r="C84" s="17"/>
      <c r="D84" s="17"/>
      <c r="E84" s="17"/>
      <c r="F84" s="17"/>
      <c r="G84" s="17"/>
      <c r="H84" s="279"/>
      <c r="I84" s="51" t="s">
        <v>114</v>
      </c>
      <c r="J84" s="226">
        <f>L79</f>
        <v>4.5053475935828882</v>
      </c>
      <c r="K84" s="287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284"/>
      <c r="J85" s="284"/>
      <c r="K85" s="285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663" t="s">
        <v>117</v>
      </c>
      <c r="I86" s="664"/>
      <c r="J86" s="664"/>
      <c r="K86" s="665"/>
      <c r="L86" s="114">
        <f>'[1]11 เดือน'!$L$86</f>
        <v>4.3</v>
      </c>
      <c r="M86" s="61">
        <f>IF(L86=0,"-",L86*B86/B$94)</f>
        <v>0.215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657" t="s">
        <v>118</v>
      </c>
      <c r="I87" s="658"/>
      <c r="J87" s="658"/>
      <c r="K87" s="659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657" t="s">
        <v>119</v>
      </c>
      <c r="I88" s="658"/>
      <c r="J88" s="658"/>
      <c r="K88" s="659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279" t="s">
        <v>120</v>
      </c>
      <c r="I89" s="280"/>
      <c r="J89" s="280"/>
      <c r="K89" s="281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279" t="s">
        <v>121</v>
      </c>
      <c r="I90" s="280"/>
      <c r="J90" s="280"/>
      <c r="K90" s="281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f>'[1]11 เดือน'!$J$91</f>
        <v>96.5</v>
      </c>
      <c r="K91" s="281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660" t="s">
        <v>129</v>
      </c>
      <c r="B93" s="661"/>
      <c r="C93" s="661"/>
      <c r="D93" s="661"/>
      <c r="E93" s="661"/>
      <c r="F93" s="661"/>
      <c r="G93" s="661"/>
      <c r="H93" s="661"/>
      <c r="I93" s="661"/>
      <c r="J93" s="661"/>
      <c r="K93" s="661"/>
      <c r="L93" s="662"/>
      <c r="M93" s="267">
        <f>SUM(M86,M79,M73,M68,M60,M54,M49,M41,M35,M29,M24,M17,M9,M6)</f>
        <v>2.0072889596406092</v>
      </c>
    </row>
    <row r="94" spans="1:32">
      <c r="B94" s="268">
        <f>SUM(B6:B92)</f>
        <v>100</v>
      </c>
    </row>
  </sheetData>
  <mergeCells count="53">
    <mergeCell ref="H9:I10"/>
    <mergeCell ref="J9:K9"/>
    <mergeCell ref="A1:M1"/>
    <mergeCell ref="A2:M2"/>
    <mergeCell ref="C4:G4"/>
    <mergeCell ref="H4:K5"/>
    <mergeCell ref="L4:L5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AF104"/>
  <sheetViews>
    <sheetView tabSelected="1" view="pageBreakPreview" zoomScaleNormal="90" zoomScaleSheetLayoutView="100" zoomScalePageLayoutView="50" workbookViewId="0">
      <selection sqref="A1:M1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7" width="9.140625" style="292"/>
    <col min="18" max="18" width="16.5703125" style="292" bestFit="1" customWidth="1"/>
    <col min="19" max="19" width="8.140625" style="292" customWidth="1"/>
    <col min="20" max="20" width="8" style="292" customWidth="1"/>
    <col min="21" max="21" width="15" style="292" bestFit="1" customWidth="1"/>
    <col min="22" max="22" width="16.140625" style="292" bestFit="1" customWidth="1"/>
    <col min="23" max="23" width="15" style="292" bestFit="1" customWidth="1"/>
    <col min="24" max="24" width="9.140625" style="292"/>
    <col min="25" max="25" width="10.7109375" style="292" customWidth="1"/>
    <col min="26" max="26" width="113.42578125" style="292" bestFit="1" customWidth="1"/>
    <col min="27" max="27" width="11.28515625" style="292" bestFit="1" customWidth="1"/>
    <col min="28" max="28" width="11.7109375" style="292" bestFit="1" customWidth="1"/>
    <col min="29" max="30" width="9.140625" style="292"/>
    <col min="31" max="31" width="12.5703125" style="292" bestFit="1" customWidth="1"/>
    <col min="32" max="16384" width="9.140625" style="292"/>
  </cols>
  <sheetData>
    <row r="1" spans="1:30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30" ht="24" customHeight="1">
      <c r="A2" s="710" t="s">
        <v>298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X2" s="445"/>
      <c r="Y2" s="445"/>
      <c r="Z2" s="445"/>
      <c r="AA2" s="445"/>
      <c r="AB2" s="445"/>
      <c r="AC2" s="445"/>
      <c r="AD2" s="445"/>
    </row>
    <row r="3" spans="1:30" ht="24" customHeight="1">
      <c r="A3" s="293" t="s">
        <v>256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  <c r="R3" s="298" t="s">
        <v>255</v>
      </c>
      <c r="S3" s="499" t="s">
        <v>239</v>
      </c>
      <c r="X3" s="445"/>
      <c r="Y3" s="501"/>
      <c r="Z3" s="467"/>
      <c r="AA3" s="502"/>
      <c r="AB3" s="502"/>
      <c r="AC3" s="445"/>
      <c r="AD3" s="445"/>
    </row>
    <row r="4" spans="1:30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  <c r="Q4" s="512" t="s">
        <v>238</v>
      </c>
      <c r="R4" s="512" t="s">
        <v>249</v>
      </c>
      <c r="S4" s="512" t="s">
        <v>240</v>
      </c>
      <c r="X4" s="306"/>
      <c r="Y4" s="501"/>
      <c r="Z4" s="467" t="s">
        <v>246</v>
      </c>
      <c r="AA4" s="502"/>
      <c r="AB4" s="503"/>
      <c r="AC4" s="445"/>
      <c r="AD4" s="445"/>
    </row>
    <row r="5" spans="1:30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719"/>
      <c r="M5" s="301" t="s">
        <v>9</v>
      </c>
      <c r="Q5" s="504">
        <v>1</v>
      </c>
      <c r="R5" s="539">
        <v>952730701</v>
      </c>
      <c r="S5" s="540">
        <v>14.04</v>
      </c>
      <c r="T5" s="509" t="s">
        <v>241</v>
      </c>
      <c r="U5" s="510"/>
      <c r="X5" s="306"/>
      <c r="Y5" s="501"/>
      <c r="Z5" s="511">
        <v>203691106</v>
      </c>
      <c r="AA5" s="502"/>
      <c r="AB5" s="503"/>
      <c r="AC5" s="445"/>
      <c r="AD5" s="445"/>
    </row>
    <row r="6" spans="1:30" ht="24" customHeight="1">
      <c r="A6" s="302" t="s">
        <v>159</v>
      </c>
      <c r="B6" s="391">
        <v>12.5</v>
      </c>
      <c r="C6" s="392">
        <v>0.6</v>
      </c>
      <c r="D6" s="393">
        <v>0.7</v>
      </c>
      <c r="E6" s="393">
        <v>0.8</v>
      </c>
      <c r="F6" s="393">
        <v>0.9</v>
      </c>
      <c r="G6" s="394">
        <v>1</v>
      </c>
      <c r="H6" s="708" t="s">
        <v>14</v>
      </c>
      <c r="I6" s="708"/>
      <c r="J6" s="709" t="s">
        <v>160</v>
      </c>
      <c r="K6" s="709"/>
      <c r="L6" s="395">
        <v>4.8895</v>
      </c>
      <c r="M6" s="305">
        <f>IF(L6=0,"-",ROUND(L6*B6/B$98,4))</f>
        <v>0.61119999999999997</v>
      </c>
      <c r="N6" s="292">
        <v>10</v>
      </c>
      <c r="O6" s="292">
        <v>1</v>
      </c>
      <c r="Q6" s="504">
        <v>2</v>
      </c>
      <c r="R6" s="539">
        <v>821051637</v>
      </c>
      <c r="S6" s="540">
        <v>62.58</v>
      </c>
      <c r="T6" s="507" t="s">
        <v>242</v>
      </c>
      <c r="U6" s="508"/>
      <c r="X6" s="445"/>
      <c r="Y6" s="501"/>
      <c r="Z6" s="511">
        <v>814500200</v>
      </c>
      <c r="AA6" s="502"/>
      <c r="AB6" s="503"/>
      <c r="AC6" s="445"/>
      <c r="AD6" s="445"/>
    </row>
    <row r="7" spans="1:30" ht="24" customHeight="1">
      <c r="A7" s="309" t="s">
        <v>161</v>
      </c>
      <c r="B7" s="327"/>
      <c r="C7" s="316"/>
      <c r="D7" s="316"/>
      <c r="E7" s="316"/>
      <c r="F7" s="316"/>
      <c r="G7" s="396"/>
      <c r="H7" s="708"/>
      <c r="I7" s="708"/>
      <c r="J7" s="385" t="s">
        <v>17</v>
      </c>
      <c r="K7" s="367" t="s">
        <v>18</v>
      </c>
      <c r="L7" s="355"/>
      <c r="M7" s="308"/>
      <c r="N7" s="292">
        <v>8.8949999999999996</v>
      </c>
      <c r="O7" s="292">
        <f>O6*N7/N6</f>
        <v>0.88949999999999996</v>
      </c>
      <c r="Q7" s="504">
        <v>3</v>
      </c>
      <c r="R7" s="539">
        <v>10720300</v>
      </c>
      <c r="S7" s="540">
        <v>98.09</v>
      </c>
      <c r="T7" s="507" t="s">
        <v>243</v>
      </c>
      <c r="U7" s="508"/>
      <c r="X7" s="445"/>
      <c r="Y7" s="501"/>
      <c r="Z7" s="511">
        <v>10720300</v>
      </c>
      <c r="AA7" s="502"/>
      <c r="AB7" s="503"/>
      <c r="AC7" s="445"/>
      <c r="AD7" s="445"/>
    </row>
    <row r="8" spans="1:30" ht="24" customHeight="1">
      <c r="A8" s="309"/>
      <c r="B8" s="327"/>
      <c r="C8" s="318"/>
      <c r="D8" s="318"/>
      <c r="E8" s="318"/>
      <c r="F8" s="318"/>
      <c r="G8" s="397"/>
      <c r="H8" s="371" t="s">
        <v>162</v>
      </c>
      <c r="I8" s="373"/>
      <c r="J8" s="398">
        <v>61</v>
      </c>
      <c r="K8" s="486">
        <v>0.98895</v>
      </c>
      <c r="L8" s="355"/>
      <c r="M8" s="308"/>
      <c r="N8" s="487" t="s">
        <v>237</v>
      </c>
      <c r="Q8" s="504"/>
      <c r="R8" s="539">
        <v>65182800</v>
      </c>
      <c r="S8" s="540">
        <v>88.620999999999995</v>
      </c>
      <c r="T8" s="507" t="s">
        <v>245</v>
      </c>
      <c r="U8" s="508"/>
      <c r="X8" s="445"/>
      <c r="Y8" s="501"/>
      <c r="Z8" s="511">
        <v>65182800</v>
      </c>
      <c r="AA8" s="502"/>
      <c r="AB8" s="503"/>
      <c r="AC8" s="445"/>
      <c r="AD8" s="445"/>
    </row>
    <row r="9" spans="1:30" ht="24" customHeight="1">
      <c r="A9" s="309"/>
      <c r="B9" s="399"/>
      <c r="C9" s="319"/>
      <c r="D9" s="320"/>
      <c r="E9" s="320"/>
      <c r="F9" s="320"/>
      <c r="G9" s="311"/>
      <c r="H9" s="720" t="s">
        <v>163</v>
      </c>
      <c r="I9" s="721"/>
      <c r="J9" s="400"/>
      <c r="K9" s="368"/>
      <c r="L9" s="355"/>
      <c r="M9" s="308"/>
      <c r="N9" s="314"/>
      <c r="O9" s="317"/>
      <c r="P9" s="315"/>
      <c r="Q9" s="504"/>
      <c r="R9" s="539">
        <v>12075000</v>
      </c>
      <c r="S9" s="540">
        <v>0</v>
      </c>
      <c r="T9" s="507" t="s">
        <v>244</v>
      </c>
      <c r="U9" s="508"/>
      <c r="X9" s="445"/>
      <c r="Y9" s="501"/>
      <c r="Z9" s="511">
        <v>12075000</v>
      </c>
      <c r="AA9" s="502"/>
      <c r="AB9" s="503"/>
      <c r="AC9" s="445"/>
      <c r="AD9" s="445"/>
    </row>
    <row r="10" spans="1:30" ht="24" customHeight="1">
      <c r="A10" s="309"/>
      <c r="B10" s="399"/>
      <c r="C10" s="320"/>
      <c r="D10" s="320"/>
      <c r="E10" s="320"/>
      <c r="F10" s="320"/>
      <c r="G10" s="311"/>
      <c r="H10" s="720"/>
      <c r="I10" s="721"/>
      <c r="J10" s="400"/>
      <c r="K10" s="321"/>
      <c r="L10" s="355"/>
      <c r="M10" s="308"/>
      <c r="Q10" s="504">
        <v>4</v>
      </c>
      <c r="R10" s="539">
        <v>394600000</v>
      </c>
      <c r="S10" s="540">
        <v>21.067</v>
      </c>
      <c r="T10" s="292" t="s">
        <v>247</v>
      </c>
      <c r="U10" s="508"/>
      <c r="X10" s="445"/>
      <c r="Y10" s="501"/>
      <c r="Z10" s="511">
        <v>394600000</v>
      </c>
      <c r="AA10" s="502"/>
      <c r="AB10" s="503"/>
      <c r="AC10" s="445"/>
      <c r="AD10" s="445"/>
    </row>
    <row r="11" spans="1:30" ht="24" customHeight="1" thickBot="1">
      <c r="A11" s="309"/>
      <c r="B11" s="399"/>
      <c r="C11" s="310"/>
      <c r="D11" s="310"/>
      <c r="E11" s="310"/>
      <c r="F11" s="310" t="s">
        <v>164</v>
      </c>
      <c r="G11" s="310"/>
      <c r="H11" s="725" t="s">
        <v>20</v>
      </c>
      <c r="I11" s="725"/>
      <c r="J11" s="401">
        <f>SUM(J5:J10)</f>
        <v>61</v>
      </c>
      <c r="K11" s="401"/>
      <c r="L11" s="355"/>
      <c r="M11" s="308"/>
      <c r="Q11" s="504">
        <v>5</v>
      </c>
      <c r="R11" s="539">
        <v>107120000</v>
      </c>
      <c r="S11" s="540">
        <v>66.95</v>
      </c>
      <c r="T11" s="507" t="s">
        <v>248</v>
      </c>
      <c r="U11" s="508"/>
      <c r="X11" s="445"/>
      <c r="Y11" s="501"/>
      <c r="Z11" s="511">
        <v>107120000</v>
      </c>
      <c r="AA11" s="502"/>
      <c r="AB11" s="503"/>
      <c r="AC11" s="445"/>
      <c r="AD11" s="445"/>
    </row>
    <row r="12" spans="1:30" ht="24" customHeight="1" thickTop="1">
      <c r="A12" s="302" t="s">
        <v>165</v>
      </c>
      <c r="B12" s="391">
        <v>12.5</v>
      </c>
      <c r="C12" s="313">
        <v>6197</v>
      </c>
      <c r="D12" s="313">
        <v>6375</v>
      </c>
      <c r="E12" s="313">
        <v>6555</v>
      </c>
      <c r="F12" s="313">
        <v>6734</v>
      </c>
      <c r="G12" s="313">
        <v>6912</v>
      </c>
      <c r="H12" s="727" t="s">
        <v>14</v>
      </c>
      <c r="I12" s="728"/>
      <c r="J12" s="730" t="s">
        <v>15</v>
      </c>
      <c r="K12" s="730"/>
      <c r="L12" s="304">
        <v>1</v>
      </c>
      <c r="M12" s="305">
        <f>IF(L12=0,"-",ROUND(L12*B12/B$98,4))</f>
        <v>0.125</v>
      </c>
      <c r="N12" s="487" t="s">
        <v>237</v>
      </c>
      <c r="P12" s="514" t="s">
        <v>237</v>
      </c>
      <c r="Q12" s="504">
        <v>6</v>
      </c>
      <c r="R12" s="539">
        <v>32849900</v>
      </c>
      <c r="S12" s="540">
        <v>74.069999999999993</v>
      </c>
      <c r="T12" s="507" t="s">
        <v>250</v>
      </c>
      <c r="U12" s="508"/>
      <c r="X12" s="445"/>
      <c r="Y12" s="467"/>
      <c r="Z12" s="511">
        <v>32849900</v>
      </c>
      <c r="AA12" s="502"/>
      <c r="AB12" s="503"/>
      <c r="AC12" s="445"/>
      <c r="AD12" s="445"/>
    </row>
    <row r="13" spans="1:30" ht="24" customHeight="1">
      <c r="A13" s="309" t="s">
        <v>166</v>
      </c>
      <c r="B13" s="399"/>
      <c r="C13" s="316" t="s">
        <v>38</v>
      </c>
      <c r="D13" s="316" t="s">
        <v>38</v>
      </c>
      <c r="E13" s="316" t="s">
        <v>39</v>
      </c>
      <c r="F13" s="316" t="s">
        <v>38</v>
      </c>
      <c r="G13" s="316" t="s">
        <v>38</v>
      </c>
      <c r="H13" s="729"/>
      <c r="I13" s="708"/>
      <c r="J13" s="385" t="s">
        <v>17</v>
      </c>
      <c r="K13" s="367" t="s">
        <v>18</v>
      </c>
      <c r="L13" s="307"/>
      <c r="M13" s="308"/>
      <c r="P13" s="514" t="s">
        <v>237</v>
      </c>
      <c r="Q13" s="504"/>
      <c r="R13" s="539">
        <v>88159600</v>
      </c>
      <c r="S13" s="540">
        <v>40.270000000000003</v>
      </c>
      <c r="T13" s="507" t="s">
        <v>251</v>
      </c>
      <c r="U13" s="508"/>
      <c r="X13" s="445"/>
      <c r="Y13" s="501"/>
      <c r="Z13" s="511">
        <v>88159600</v>
      </c>
      <c r="AA13" s="502"/>
      <c r="AB13" s="503"/>
      <c r="AC13" s="445"/>
      <c r="AD13" s="445"/>
    </row>
    <row r="14" spans="1:30" ht="24" customHeight="1">
      <c r="A14" s="309"/>
      <c r="B14" s="399"/>
      <c r="C14" s="320"/>
      <c r="D14" s="320"/>
      <c r="E14" s="320"/>
      <c r="F14" s="320"/>
      <c r="G14" s="320"/>
      <c r="H14" s="371" t="s">
        <v>19</v>
      </c>
      <c r="I14" s="373"/>
      <c r="J14" s="398">
        <v>3800</v>
      </c>
      <c r="K14" s="497">
        <v>3800</v>
      </c>
      <c r="L14" s="307"/>
      <c r="M14" s="308"/>
      <c r="Q14" s="504"/>
      <c r="R14" s="539">
        <v>62829593</v>
      </c>
      <c r="S14" s="540">
        <v>99.84</v>
      </c>
      <c r="T14" s="507" t="s">
        <v>253</v>
      </c>
      <c r="U14" s="508"/>
      <c r="X14" s="445"/>
      <c r="Y14" s="501"/>
      <c r="Z14" s="511">
        <v>62829593</v>
      </c>
      <c r="AA14" s="502"/>
      <c r="AB14" s="503"/>
      <c r="AC14" s="445"/>
      <c r="AD14" s="445"/>
    </row>
    <row r="15" spans="1:30" ht="24" customHeight="1">
      <c r="A15" s="309"/>
      <c r="B15" s="399"/>
      <c r="C15" s="320"/>
      <c r="D15" s="320"/>
      <c r="E15" s="320"/>
      <c r="F15" s="320"/>
      <c r="G15" s="320"/>
      <c r="H15" s="720" t="s">
        <v>140</v>
      </c>
      <c r="I15" s="721"/>
      <c r="J15" s="400"/>
      <c r="K15" s="368"/>
      <c r="L15" s="307"/>
      <c r="M15" s="308"/>
      <c r="P15" s="514" t="s">
        <v>237</v>
      </c>
      <c r="Q15" s="504"/>
      <c r="R15" s="539">
        <v>39000000</v>
      </c>
      <c r="S15" s="540">
        <v>42.68</v>
      </c>
      <c r="T15" s="507" t="s">
        <v>252</v>
      </c>
      <c r="U15" s="508"/>
      <c r="X15" s="445"/>
      <c r="Y15" s="501"/>
      <c r="Z15" s="511">
        <v>39000000</v>
      </c>
      <c r="AA15" s="502"/>
      <c r="AB15" s="503"/>
      <c r="AC15" s="445"/>
      <c r="AD15" s="445"/>
    </row>
    <row r="16" spans="1:30" ht="24" customHeight="1">
      <c r="A16" s="309"/>
      <c r="B16" s="399"/>
      <c r="C16" s="320"/>
      <c r="D16" s="320"/>
      <c r="E16" s="320"/>
      <c r="F16" s="320"/>
      <c r="G16" s="320"/>
      <c r="H16" s="720"/>
      <c r="I16" s="721"/>
      <c r="J16" s="400"/>
      <c r="K16" s="321"/>
      <c r="L16" s="307"/>
      <c r="M16" s="308"/>
      <c r="Q16" s="504">
        <v>7</v>
      </c>
      <c r="R16" s="539">
        <v>600976400</v>
      </c>
      <c r="S16" s="540">
        <v>71.56</v>
      </c>
      <c r="T16" s="507" t="s">
        <v>254</v>
      </c>
      <c r="U16" s="508"/>
      <c r="X16" s="445"/>
      <c r="Y16" s="501"/>
      <c r="Z16" s="511">
        <v>600976400</v>
      </c>
      <c r="AA16" s="502"/>
      <c r="AB16" s="503"/>
      <c r="AC16" s="445"/>
      <c r="AD16" s="445"/>
    </row>
    <row r="17" spans="1:30" ht="24" customHeight="1">
      <c r="A17" s="309"/>
      <c r="B17" s="399"/>
      <c r="C17" s="320"/>
      <c r="D17" s="320"/>
      <c r="E17" s="320"/>
      <c r="F17" s="320"/>
      <c r="G17" s="320"/>
      <c r="H17" s="369" t="s">
        <v>167</v>
      </c>
      <c r="I17" s="370"/>
      <c r="J17" s="400">
        <v>3500</v>
      </c>
      <c r="K17" s="759">
        <v>0</v>
      </c>
      <c r="L17" s="307"/>
      <c r="M17" s="308"/>
      <c r="Q17" s="504">
        <v>8</v>
      </c>
      <c r="R17" s="539">
        <v>100250826</v>
      </c>
      <c r="S17" s="540">
        <v>84.76</v>
      </c>
      <c r="T17" s="507" t="s">
        <v>257</v>
      </c>
      <c r="U17" s="508"/>
      <c r="X17" s="445"/>
      <c r="Y17" s="501"/>
      <c r="Z17" s="511">
        <v>100250826</v>
      </c>
      <c r="AA17" s="502"/>
      <c r="AB17" s="503"/>
      <c r="AC17" s="445"/>
      <c r="AD17" s="445"/>
    </row>
    <row r="18" spans="1:30" ht="24" customHeight="1">
      <c r="A18" s="309"/>
      <c r="B18" s="399"/>
      <c r="C18" s="320"/>
      <c r="D18" s="320"/>
      <c r="E18" s="320"/>
      <c r="F18" s="320"/>
      <c r="G18" s="320"/>
      <c r="H18" s="720" t="s">
        <v>168</v>
      </c>
      <c r="I18" s="721"/>
      <c r="J18" s="400"/>
      <c r="K18" s="321"/>
      <c r="L18" s="307"/>
      <c r="M18" s="308"/>
      <c r="Q18" s="504">
        <v>9</v>
      </c>
      <c r="R18" s="539">
        <v>249419650</v>
      </c>
      <c r="S18" s="540">
        <v>72.959999999999994</v>
      </c>
      <c r="T18" s="507" t="s">
        <v>258</v>
      </c>
      <c r="U18" s="508"/>
      <c r="X18" s="445"/>
      <c r="Y18" s="501"/>
      <c r="Z18" s="511">
        <v>306318447</v>
      </c>
      <c r="AA18" s="502"/>
      <c r="AB18" s="503"/>
      <c r="AC18" s="445"/>
      <c r="AD18" s="445"/>
    </row>
    <row r="19" spans="1:30" ht="24" customHeight="1">
      <c r="A19" s="309"/>
      <c r="B19" s="399"/>
      <c r="C19" s="320"/>
      <c r="D19" s="320"/>
      <c r="E19" s="320"/>
      <c r="F19" s="320"/>
      <c r="G19" s="320"/>
      <c r="H19" s="732"/>
      <c r="I19" s="733"/>
      <c r="J19" s="400"/>
      <c r="K19" s="321"/>
      <c r="L19" s="307"/>
      <c r="M19" s="308"/>
      <c r="Q19" s="504"/>
      <c r="R19" s="539">
        <v>127313700</v>
      </c>
      <c r="S19" s="540">
        <v>49.15</v>
      </c>
      <c r="T19" s="507" t="s">
        <v>259</v>
      </c>
      <c r="U19" s="508"/>
      <c r="X19" s="445"/>
      <c r="Y19" s="501"/>
      <c r="Z19" s="511">
        <v>127313700</v>
      </c>
      <c r="AA19" s="502"/>
      <c r="AB19" s="503"/>
      <c r="AC19" s="445"/>
      <c r="AD19" s="445"/>
    </row>
    <row r="20" spans="1:30" ht="24" customHeight="1" thickBot="1">
      <c r="A20" s="309"/>
      <c r="B20" s="399"/>
      <c r="C20" s="320"/>
      <c r="D20" s="320"/>
      <c r="E20" s="320"/>
      <c r="F20" s="320"/>
      <c r="G20" s="320"/>
      <c r="H20" s="725" t="s">
        <v>20</v>
      </c>
      <c r="I20" s="725"/>
      <c r="J20" s="401">
        <f>SUM(J14:J19)</f>
        <v>7300</v>
      </c>
      <c r="K20" s="432">
        <f>K14+K17</f>
        <v>3800</v>
      </c>
      <c r="L20" s="307"/>
      <c r="M20" s="308"/>
      <c r="P20" s="514" t="s">
        <v>237</v>
      </c>
      <c r="Q20" s="504"/>
      <c r="R20" s="539">
        <v>23151000</v>
      </c>
      <c r="S20" s="540">
        <v>64.430000000000007</v>
      </c>
      <c r="T20" s="507" t="s">
        <v>260</v>
      </c>
      <c r="U20" s="508"/>
      <c r="X20" s="445"/>
      <c r="Y20" s="501"/>
      <c r="Z20" s="511">
        <v>23151000</v>
      </c>
      <c r="AA20" s="502"/>
      <c r="AB20" s="503"/>
      <c r="AC20" s="445"/>
      <c r="AD20" s="445"/>
    </row>
    <row r="21" spans="1:30" ht="24" customHeight="1" thickTop="1">
      <c r="A21" s="302" t="s">
        <v>169</v>
      </c>
      <c r="B21" s="391">
        <v>4.17</v>
      </c>
      <c r="C21" s="303">
        <v>0.65</v>
      </c>
      <c r="D21" s="303">
        <v>0.7</v>
      </c>
      <c r="E21" s="303">
        <v>0.75</v>
      </c>
      <c r="F21" s="303">
        <v>0.8</v>
      </c>
      <c r="G21" s="303">
        <v>0.85</v>
      </c>
      <c r="H21" s="726" t="s">
        <v>141</v>
      </c>
      <c r="I21" s="722"/>
      <c r="J21" s="722"/>
      <c r="K21" s="723"/>
      <c r="L21" s="304">
        <v>1</v>
      </c>
      <c r="M21" s="305">
        <f>IF(L21=0,"-",ROUND(L21*B21/B$98,4))</f>
        <v>4.1700000000000001E-2</v>
      </c>
      <c r="N21" s="429" t="s">
        <v>214</v>
      </c>
      <c r="P21" s="514" t="s">
        <v>237</v>
      </c>
      <c r="Q21" s="504"/>
      <c r="R21" s="539">
        <v>188867200</v>
      </c>
      <c r="S21" s="540">
        <v>0</v>
      </c>
      <c r="T21" s="507" t="s">
        <v>261</v>
      </c>
      <c r="U21" s="508"/>
      <c r="X21" s="445"/>
      <c r="Y21" s="501"/>
      <c r="Z21" s="511">
        <v>188867200</v>
      </c>
      <c r="AA21" s="502"/>
      <c r="AB21" s="503"/>
      <c r="AC21" s="445"/>
      <c r="AD21" s="445"/>
    </row>
    <row r="22" spans="1:30" ht="24" customHeight="1">
      <c r="A22" s="309" t="s">
        <v>44</v>
      </c>
      <c r="B22" s="399"/>
      <c r="C22" s="320"/>
      <c r="D22" s="320"/>
      <c r="E22" s="320"/>
      <c r="F22" s="320"/>
      <c r="G22" s="320"/>
      <c r="H22" s="720" t="s">
        <v>142</v>
      </c>
      <c r="I22" s="724"/>
      <c r="J22" s="724"/>
      <c r="K22" s="721"/>
      <c r="L22" s="307"/>
      <c r="M22" s="308"/>
      <c r="N22" s="487" t="s">
        <v>237</v>
      </c>
      <c r="Q22" s="504">
        <v>10</v>
      </c>
      <c r="R22" s="539">
        <v>292983000</v>
      </c>
      <c r="S22" s="540">
        <v>67.046999999999997</v>
      </c>
      <c r="T22" s="507" t="s">
        <v>262</v>
      </c>
      <c r="U22" s="508"/>
      <c r="X22" s="445"/>
      <c r="Y22" s="501"/>
      <c r="Z22" s="511">
        <v>292983000</v>
      </c>
      <c r="AA22" s="502"/>
      <c r="AB22" s="503"/>
      <c r="AC22" s="445"/>
      <c r="AD22" s="445"/>
    </row>
    <row r="23" spans="1:30" ht="24" customHeight="1">
      <c r="A23" s="309"/>
      <c r="B23" s="399"/>
      <c r="C23" s="320"/>
      <c r="D23" s="320"/>
      <c r="E23" s="320"/>
      <c r="F23" s="320"/>
      <c r="G23" s="320"/>
      <c r="H23" s="720" t="s">
        <v>143</v>
      </c>
      <c r="I23" s="724"/>
      <c r="J23" s="724"/>
      <c r="K23" s="721"/>
      <c r="L23" s="307"/>
      <c r="M23" s="308"/>
      <c r="Q23" s="504"/>
      <c r="R23" s="539">
        <v>55458000</v>
      </c>
      <c r="S23" s="540">
        <v>68</v>
      </c>
      <c r="T23" s="507" t="s">
        <v>263</v>
      </c>
      <c r="U23" s="508"/>
      <c r="X23" s="445"/>
      <c r="Y23" s="467"/>
      <c r="Z23" s="511">
        <v>55458000</v>
      </c>
      <c r="AA23" s="502"/>
      <c r="AB23" s="503"/>
      <c r="AC23" s="445"/>
      <c r="AD23" s="445"/>
    </row>
    <row r="24" spans="1:30" ht="24" customHeight="1">
      <c r="A24" s="309"/>
      <c r="B24" s="399"/>
      <c r="C24" s="320"/>
      <c r="D24" s="320"/>
      <c r="E24" s="320"/>
      <c r="F24" s="320"/>
      <c r="G24" s="320"/>
      <c r="H24" s="720" t="s">
        <v>144</v>
      </c>
      <c r="I24" s="724"/>
      <c r="J24" s="724"/>
      <c r="K24" s="721"/>
      <c r="L24" s="307"/>
      <c r="M24" s="308"/>
      <c r="Q24" s="504">
        <v>11</v>
      </c>
      <c r="R24" s="539">
        <v>1178152505</v>
      </c>
      <c r="S24" s="540">
        <v>35.5</v>
      </c>
      <c r="T24" s="507" t="s">
        <v>264</v>
      </c>
      <c r="U24" s="508"/>
      <c r="X24" s="445"/>
      <c r="Y24" s="467"/>
      <c r="Z24" s="511">
        <v>1173744938</v>
      </c>
      <c r="AA24" s="502"/>
      <c r="AB24" s="503"/>
      <c r="AC24" s="445"/>
      <c r="AD24" s="445"/>
    </row>
    <row r="25" spans="1:30" ht="24" customHeight="1">
      <c r="A25" s="309"/>
      <c r="B25" s="399"/>
      <c r="C25" s="320"/>
      <c r="D25" s="320"/>
      <c r="E25" s="320"/>
      <c r="F25" s="320"/>
      <c r="G25" s="320"/>
      <c r="H25" s="720" t="s">
        <v>170</v>
      </c>
      <c r="I25" s="724"/>
      <c r="J25" s="724"/>
      <c r="K25" s="721"/>
      <c r="L25" s="307"/>
      <c r="M25" s="308"/>
      <c r="Q25" s="504"/>
      <c r="R25" s="539">
        <v>150250900</v>
      </c>
      <c r="S25" s="540">
        <v>91.2</v>
      </c>
      <c r="T25" s="507" t="s">
        <v>265</v>
      </c>
      <c r="U25" s="508"/>
      <c r="X25" s="445"/>
      <c r="Y25" s="467"/>
      <c r="Z25" s="511">
        <v>150250900</v>
      </c>
      <c r="AA25" s="502"/>
      <c r="AB25" s="503"/>
      <c r="AC25" s="445"/>
      <c r="AD25" s="445"/>
    </row>
    <row r="26" spans="1:30" ht="24" customHeight="1">
      <c r="A26" s="309"/>
      <c r="B26" s="399"/>
      <c r="C26" s="320"/>
      <c r="D26" s="320"/>
      <c r="E26" s="320"/>
      <c r="F26" s="320"/>
      <c r="G26" s="320"/>
      <c r="I26" s="323" t="s">
        <v>54</v>
      </c>
      <c r="J26" s="324" t="s">
        <v>11</v>
      </c>
      <c r="K26" s="370" t="s">
        <v>51</v>
      </c>
      <c r="L26" s="307"/>
      <c r="M26" s="308"/>
      <c r="Q26" s="504"/>
      <c r="R26" s="539">
        <v>187050000</v>
      </c>
      <c r="S26" s="540">
        <v>12.35</v>
      </c>
      <c r="T26" s="507" t="s">
        <v>266</v>
      </c>
      <c r="U26" s="508"/>
      <c r="X26" s="445"/>
      <c r="Y26" s="467"/>
      <c r="Z26" s="511">
        <v>187050000</v>
      </c>
      <c r="AA26" s="502"/>
      <c r="AB26" s="503"/>
      <c r="AC26" s="445"/>
      <c r="AD26" s="445"/>
    </row>
    <row r="27" spans="1:30" ht="24" customHeight="1">
      <c r="A27" s="325"/>
      <c r="B27" s="402"/>
      <c r="C27" s="310"/>
      <c r="D27" s="310"/>
      <c r="E27" s="310"/>
      <c r="F27" s="310"/>
      <c r="G27" s="310"/>
      <c r="H27" s="705" t="s">
        <v>212</v>
      </c>
      <c r="I27" s="706"/>
      <c r="J27" s="706"/>
      <c r="K27" s="707"/>
      <c r="L27" s="326"/>
      <c r="M27" s="299"/>
      <c r="Q27" s="504">
        <v>12</v>
      </c>
      <c r="R27" s="539">
        <v>168675875</v>
      </c>
      <c r="S27" s="540">
        <v>59.81</v>
      </c>
      <c r="T27" s="507" t="s">
        <v>267</v>
      </c>
      <c r="U27" s="508"/>
      <c r="X27" s="445"/>
      <c r="Y27" s="467"/>
      <c r="Z27" s="511">
        <v>168675875</v>
      </c>
      <c r="AA27" s="502"/>
      <c r="AB27" s="502"/>
      <c r="AC27" s="445"/>
      <c r="AD27" s="445"/>
    </row>
    <row r="28" spans="1:30" ht="24" customHeight="1">
      <c r="A28" s="302" t="s">
        <v>53</v>
      </c>
      <c r="B28" s="403">
        <v>12.5</v>
      </c>
      <c r="C28" s="303">
        <v>0.6</v>
      </c>
      <c r="D28" s="303">
        <v>0.7</v>
      </c>
      <c r="E28" s="303">
        <v>0.8</v>
      </c>
      <c r="F28" s="303">
        <v>0.9</v>
      </c>
      <c r="G28" s="303">
        <v>1</v>
      </c>
      <c r="H28" s="722" t="s">
        <v>171</v>
      </c>
      <c r="I28" s="722"/>
      <c r="J28" s="722"/>
      <c r="K28" s="723"/>
      <c r="L28" s="304">
        <v>1</v>
      </c>
      <c r="M28" s="305">
        <f>IF(L28=0,"-",ROUND(L28*B28/B$98,4))</f>
        <v>0.125</v>
      </c>
      <c r="N28" s="429" t="s">
        <v>214</v>
      </c>
      <c r="Q28" s="504">
        <v>13</v>
      </c>
      <c r="R28" s="539">
        <v>85676200</v>
      </c>
      <c r="S28" s="540">
        <v>75.872</v>
      </c>
      <c r="T28" s="507" t="s">
        <v>268</v>
      </c>
      <c r="U28" s="508"/>
      <c r="X28" s="445"/>
      <c r="Y28" s="467"/>
      <c r="Z28" s="511">
        <v>85676200</v>
      </c>
      <c r="AA28" s="502"/>
      <c r="AB28" s="502"/>
      <c r="AC28" s="445"/>
      <c r="AD28" s="445"/>
    </row>
    <row r="29" spans="1:30" ht="24" customHeight="1">
      <c r="A29" s="309" t="s">
        <v>21</v>
      </c>
      <c r="B29" s="352"/>
      <c r="C29" s="320"/>
      <c r="D29" s="320"/>
      <c r="E29" s="320"/>
      <c r="F29" s="320"/>
      <c r="G29" s="320"/>
      <c r="H29" s="720" t="s">
        <v>83</v>
      </c>
      <c r="I29" s="724"/>
      <c r="J29" s="724"/>
      <c r="K29" s="721"/>
      <c r="L29" s="307"/>
      <c r="M29" s="308"/>
      <c r="N29" s="452" t="s">
        <v>199</v>
      </c>
      <c r="Q29" s="504"/>
      <c r="R29" s="539">
        <v>14660908</v>
      </c>
      <c r="S29" s="540">
        <v>100</v>
      </c>
      <c r="T29" s="507" t="s">
        <v>269</v>
      </c>
      <c r="U29" s="508"/>
      <c r="Z29" s="511">
        <v>14660908</v>
      </c>
    </row>
    <row r="30" spans="1:30" ht="24" customHeight="1">
      <c r="A30" s="309"/>
      <c r="B30" s="352"/>
      <c r="C30" s="320"/>
      <c r="D30" s="320"/>
      <c r="E30" s="320"/>
      <c r="F30" s="320"/>
      <c r="G30" s="320"/>
      <c r="H30" s="720" t="s">
        <v>172</v>
      </c>
      <c r="I30" s="724"/>
      <c r="J30" s="724"/>
      <c r="K30" s="721"/>
      <c r="L30" s="307"/>
      <c r="M30" s="308"/>
      <c r="N30" s="496" t="s">
        <v>237</v>
      </c>
      <c r="Q30" s="504"/>
      <c r="R30" s="539">
        <v>68250000</v>
      </c>
      <c r="S30" s="540">
        <v>60.94</v>
      </c>
      <c r="T30" s="507" t="s">
        <v>270</v>
      </c>
      <c r="U30" s="508"/>
      <c r="Z30" s="511">
        <v>68250000</v>
      </c>
    </row>
    <row r="31" spans="1:30" ht="24" customHeight="1">
      <c r="A31" s="309"/>
      <c r="B31" s="352"/>
      <c r="C31" s="320"/>
      <c r="D31" s="320"/>
      <c r="E31" s="320"/>
      <c r="F31" s="320"/>
      <c r="G31" s="320"/>
      <c r="H31" s="380" t="s">
        <v>173</v>
      </c>
      <c r="I31" s="323"/>
      <c r="J31" s="328"/>
      <c r="K31" s="370"/>
      <c r="L31" s="307"/>
      <c r="M31" s="308"/>
      <c r="Q31" s="500"/>
      <c r="R31" s="314">
        <f>SUM(R5:R30)</f>
        <v>6077455695</v>
      </c>
      <c r="S31" s="524">
        <f>((R5*S5)+(R6*S6)+(R7*S7)+(R8*S8)+(R9*S9)+(R10*S10)+(R11*S11)+(R12*S12)+(R13*S13)+(R14*S14)+(R15*S15)+(R16*S16)+(R17*S17)+(R18*S18)+(R19*S19)+(R20*S20)+(R21*S21)+(R22*S22)+(R23*S23)+(R24*S24)+(R25*S25)+(R26*S26)+(R27*S27)+(R28*S28)+(R29*S29)+(R30*S30))/SUM(R5:R30)</f>
        <v>46.385790553234138</v>
      </c>
      <c r="T31" s="731" t="s">
        <v>51</v>
      </c>
      <c r="U31" s="731"/>
      <c r="V31" s="314"/>
      <c r="W31" s="298" t="s">
        <v>255</v>
      </c>
    </row>
    <row r="32" spans="1:30" ht="24" customHeight="1">
      <c r="A32" s="309"/>
      <c r="B32" s="352"/>
      <c r="C32" s="320"/>
      <c r="D32" s="320"/>
      <c r="E32" s="320"/>
      <c r="F32" s="320"/>
      <c r="G32" s="320"/>
      <c r="H32" s="380"/>
      <c r="I32" s="323"/>
      <c r="J32" s="328"/>
      <c r="K32" s="370"/>
      <c r="L32" s="307"/>
      <c r="M32" s="308"/>
      <c r="P32" s="440" t="s">
        <v>227</v>
      </c>
      <c r="V32" s="298" t="s">
        <v>229</v>
      </c>
      <c r="W32" s="298" t="s">
        <v>230</v>
      </c>
      <c r="X32" s="298" t="s">
        <v>240</v>
      </c>
    </row>
    <row r="33" spans="1:31" ht="24" customHeight="1">
      <c r="A33" s="309"/>
      <c r="B33" s="352"/>
      <c r="C33" s="320"/>
      <c r="D33" s="320"/>
      <c r="E33" s="320"/>
      <c r="F33" s="320"/>
      <c r="G33" s="320"/>
      <c r="H33" s="380"/>
      <c r="I33" s="323" t="s">
        <v>174</v>
      </c>
      <c r="J33" s="328">
        <f>S31</f>
        <v>46.385790553234138</v>
      </c>
      <c r="K33" s="370" t="s">
        <v>51</v>
      </c>
      <c r="L33" s="307"/>
      <c r="M33" s="308"/>
      <c r="O33" s="441">
        <v>1</v>
      </c>
      <c r="P33" s="442" t="s">
        <v>204</v>
      </c>
      <c r="Q33" s="442"/>
      <c r="R33" s="442"/>
      <c r="S33" s="442"/>
      <c r="T33" s="442"/>
      <c r="U33" s="442"/>
      <c r="V33" s="443">
        <v>32849900</v>
      </c>
      <c r="W33" s="478">
        <v>24332904.5</v>
      </c>
      <c r="X33" s="505">
        <f>S12</f>
        <v>74.069999999999993</v>
      </c>
      <c r="Y33" s="292" t="s">
        <v>222</v>
      </c>
      <c r="Z33" s="451"/>
      <c r="AA33" s="435"/>
    </row>
    <row r="34" spans="1:31" ht="24" customHeight="1">
      <c r="A34" s="325"/>
      <c r="B34" s="359"/>
      <c r="C34" s="310"/>
      <c r="D34" s="310"/>
      <c r="E34" s="310"/>
      <c r="F34" s="310"/>
      <c r="G34" s="310"/>
      <c r="H34" s="329"/>
      <c r="I34" s="330"/>
      <c r="J34" s="404"/>
      <c r="K34" s="331"/>
      <c r="L34" s="326"/>
      <c r="M34" s="299"/>
      <c r="O34" s="444">
        <v>2</v>
      </c>
      <c r="P34" s="445" t="s">
        <v>205</v>
      </c>
      <c r="Q34" s="445"/>
      <c r="R34" s="445"/>
      <c r="S34" s="445"/>
      <c r="T34" s="445"/>
      <c r="U34" s="445"/>
      <c r="V34" s="446">
        <v>88159600</v>
      </c>
      <c r="W34" s="479">
        <v>35504613.25</v>
      </c>
      <c r="X34" s="513">
        <f>S13</f>
        <v>40.270000000000003</v>
      </c>
      <c r="Z34" s="451"/>
      <c r="AA34" s="435"/>
    </row>
    <row r="35" spans="1:31" ht="24" customHeight="1">
      <c r="A35" s="302" t="s">
        <v>175</v>
      </c>
      <c r="B35" s="403">
        <v>12.5</v>
      </c>
      <c r="C35" s="303">
        <v>0.6</v>
      </c>
      <c r="D35" s="303">
        <v>0.7</v>
      </c>
      <c r="E35" s="303">
        <v>0.8</v>
      </c>
      <c r="F35" s="303">
        <v>0.9</v>
      </c>
      <c r="G35" s="303">
        <v>1</v>
      </c>
      <c r="H35" s="722" t="s">
        <v>176</v>
      </c>
      <c r="I35" s="722"/>
      <c r="J35" s="722"/>
      <c r="K35" s="723"/>
      <c r="L35" s="304">
        <v>1</v>
      </c>
      <c r="M35" s="305">
        <f>IF(L35=0,"-",ROUND(L35*B35/B$98,4))</f>
        <v>0.125</v>
      </c>
      <c r="N35" s="429" t="s">
        <v>214</v>
      </c>
      <c r="O35" s="447">
        <v>3</v>
      </c>
      <c r="P35" s="448" t="s">
        <v>206</v>
      </c>
      <c r="Q35" s="448"/>
      <c r="R35" s="448"/>
      <c r="S35" s="448"/>
      <c r="T35" s="448"/>
      <c r="U35" s="448"/>
      <c r="V35" s="449">
        <v>39000000</v>
      </c>
      <c r="W35" s="479">
        <v>16647062.23</v>
      </c>
      <c r="X35" s="513">
        <f>S15</f>
        <v>42.68</v>
      </c>
      <c r="Z35" s="451"/>
      <c r="AA35" s="435"/>
    </row>
    <row r="36" spans="1:31" ht="24" customHeight="1">
      <c r="A36" s="309" t="s">
        <v>177</v>
      </c>
      <c r="B36" s="352"/>
      <c r="C36" s="320"/>
      <c r="D36" s="320"/>
      <c r="E36" s="320"/>
      <c r="F36" s="320"/>
      <c r="G36" s="320"/>
      <c r="H36" s="405" t="s">
        <v>178</v>
      </c>
      <c r="L36" s="307"/>
      <c r="M36" s="308"/>
      <c r="N36" s="453" t="s">
        <v>228</v>
      </c>
      <c r="O36" s="441">
        <v>4</v>
      </c>
      <c r="P36" s="442" t="s">
        <v>207</v>
      </c>
      <c r="Q36" s="442"/>
      <c r="R36" s="442"/>
      <c r="S36" s="442"/>
      <c r="T36" s="442"/>
      <c r="U36" s="442"/>
      <c r="V36" s="443">
        <f>R20</f>
        <v>23151000</v>
      </c>
      <c r="W36" s="480">
        <v>21675000</v>
      </c>
      <c r="X36" s="505">
        <f>S20</f>
        <v>64.430000000000007</v>
      </c>
      <c r="Y36" s="292" t="s">
        <v>223</v>
      </c>
      <c r="Z36" s="451"/>
      <c r="AA36" s="435"/>
    </row>
    <row r="37" spans="1:31" ht="24" customHeight="1">
      <c r="A37" s="309"/>
      <c r="B37" s="352"/>
      <c r="C37" s="320"/>
      <c r="D37" s="320"/>
      <c r="E37" s="320"/>
      <c r="F37" s="320"/>
      <c r="G37" s="320"/>
      <c r="H37" s="720" t="s">
        <v>83</v>
      </c>
      <c r="I37" s="724"/>
      <c r="J37" s="724"/>
      <c r="K37" s="721"/>
      <c r="L37" s="307"/>
      <c r="M37" s="308"/>
      <c r="N37" s="495" t="s">
        <v>199</v>
      </c>
      <c r="O37" s="444">
        <v>5</v>
      </c>
      <c r="P37" s="445" t="s">
        <v>208</v>
      </c>
      <c r="Q37" s="445"/>
      <c r="R37" s="445"/>
      <c r="S37" s="445"/>
      <c r="T37" s="445"/>
      <c r="U37" s="445"/>
      <c r="V37" s="446">
        <f>R21</f>
        <v>188867200</v>
      </c>
      <c r="W37" s="481">
        <v>100332000</v>
      </c>
      <c r="X37" s="513">
        <f>S21</f>
        <v>0</v>
      </c>
      <c r="Y37" s="487" t="s">
        <v>271</v>
      </c>
      <c r="Z37" s="451"/>
    </row>
    <row r="38" spans="1:31" ht="24" customHeight="1">
      <c r="A38" s="309"/>
      <c r="B38" s="352"/>
      <c r="C38" s="320"/>
      <c r="D38" s="320"/>
      <c r="E38" s="320"/>
      <c r="F38" s="320"/>
      <c r="G38" s="320"/>
      <c r="H38" s="369" t="s">
        <v>172</v>
      </c>
      <c r="I38" s="374"/>
      <c r="J38" s="374"/>
      <c r="K38" s="370"/>
      <c r="L38" s="307"/>
      <c r="M38" s="308"/>
      <c r="N38" s="487" t="s">
        <v>237</v>
      </c>
      <c r="O38" s="441">
        <v>6</v>
      </c>
      <c r="P38" s="442" t="s">
        <v>231</v>
      </c>
      <c r="Q38" s="442"/>
      <c r="R38" s="442"/>
      <c r="S38" s="442"/>
      <c r="T38" s="442"/>
      <c r="U38" s="516"/>
      <c r="V38" s="443">
        <v>67807100</v>
      </c>
      <c r="W38" s="480">
        <v>58010613.75</v>
      </c>
      <c r="X38" s="506">
        <v>91.14</v>
      </c>
      <c r="Y38" s="292" t="s">
        <v>225</v>
      </c>
      <c r="Z38" s="451"/>
      <c r="AA38" s="435"/>
    </row>
    <row r="39" spans="1:31" ht="24" customHeight="1">
      <c r="A39" s="309"/>
      <c r="B39" s="352"/>
      <c r="C39" s="320"/>
      <c r="D39" s="320"/>
      <c r="E39" s="320"/>
      <c r="F39" s="320"/>
      <c r="G39" s="320"/>
      <c r="H39" s="380" t="s">
        <v>173</v>
      </c>
      <c r="I39" s="323"/>
      <c r="J39" s="328"/>
      <c r="K39" s="370"/>
      <c r="L39" s="307"/>
      <c r="M39" s="308"/>
      <c r="O39" s="444">
        <v>7</v>
      </c>
      <c r="P39" s="445" t="s">
        <v>232</v>
      </c>
      <c r="Q39" s="445"/>
      <c r="R39" s="445"/>
      <c r="S39" s="445"/>
      <c r="T39" s="445"/>
      <c r="U39" s="445"/>
      <c r="V39" s="446">
        <v>82443800</v>
      </c>
      <c r="W39" s="481">
        <v>74929479.739999995</v>
      </c>
      <c r="X39" s="320">
        <v>91.41</v>
      </c>
      <c r="Z39" s="451"/>
    </row>
    <row r="40" spans="1:31" ht="24" customHeight="1">
      <c r="A40" s="309"/>
      <c r="B40" s="352"/>
      <c r="C40" s="320"/>
      <c r="D40" s="320"/>
      <c r="E40" s="320"/>
      <c r="F40" s="320"/>
      <c r="G40" s="320"/>
      <c r="H40" s="380"/>
      <c r="I40" s="323" t="s">
        <v>174</v>
      </c>
      <c r="J40" s="328">
        <f>X41</f>
        <v>57.757812044688308</v>
      </c>
      <c r="K40" s="370" t="s">
        <v>51</v>
      </c>
      <c r="L40" s="307"/>
      <c r="M40" s="308"/>
      <c r="O40" s="447">
        <v>8</v>
      </c>
      <c r="P40" s="448" t="s">
        <v>209</v>
      </c>
      <c r="Q40" s="448"/>
      <c r="R40" s="448"/>
      <c r="S40" s="448"/>
      <c r="T40" s="448"/>
      <c r="U40" s="448"/>
      <c r="V40" s="449">
        <f>R26</f>
        <v>187050000</v>
      </c>
      <c r="W40" s="482">
        <v>90902980.530000001</v>
      </c>
      <c r="X40" s="515">
        <f>S26</f>
        <v>12.35</v>
      </c>
      <c r="Z40" s="520"/>
      <c r="AA40" s="435"/>
    </row>
    <row r="41" spans="1:31" ht="24" customHeight="1">
      <c r="A41" s="325"/>
      <c r="B41" s="359"/>
      <c r="C41" s="310"/>
      <c r="D41" s="310"/>
      <c r="E41" s="310"/>
      <c r="F41" s="310"/>
      <c r="G41" s="310"/>
      <c r="H41" s="329"/>
      <c r="I41" s="330"/>
      <c r="J41" s="404"/>
      <c r="K41" s="331"/>
      <c r="L41" s="326"/>
      <c r="M41" s="299"/>
      <c r="U41" s="292" t="s">
        <v>210</v>
      </c>
      <c r="V41" s="483">
        <f>SUM(V33:V40)</f>
        <v>709328600</v>
      </c>
      <c r="W41" s="484">
        <f>SUM(W33:W40)</f>
        <v>422334654</v>
      </c>
      <c r="X41" s="485">
        <f>((W33*X33)+(W34*X34)+(W35*X35)+(W36*X36)+(W38*X38)+(W39*X39)+(W40*X40))/(W33+W34+W35+W36+W38+W39+W40)</f>
        <v>57.757812044688308</v>
      </c>
      <c r="Y41" s="292" t="s">
        <v>51</v>
      </c>
      <c r="Z41" s="467"/>
      <c r="AA41" s="494"/>
    </row>
    <row r="42" spans="1:31" ht="24" customHeight="1">
      <c r="A42" s="302" t="s">
        <v>179</v>
      </c>
      <c r="B42" s="403">
        <v>4.17</v>
      </c>
      <c r="C42" s="332">
        <v>0.5</v>
      </c>
      <c r="D42" s="332">
        <v>0.75</v>
      </c>
      <c r="E42" s="332">
        <v>1</v>
      </c>
      <c r="F42" s="332">
        <v>1</v>
      </c>
      <c r="G42" s="332">
        <v>1</v>
      </c>
      <c r="H42" s="726" t="s">
        <v>57</v>
      </c>
      <c r="I42" s="722"/>
      <c r="J42" s="722"/>
      <c r="K42" s="723"/>
      <c r="L42" s="304">
        <v>1.8388</v>
      </c>
      <c r="M42" s="305">
        <f>IF(L42=0,"-",ROUND(L42*B42/B$98,4))</f>
        <v>7.6700000000000004E-2</v>
      </c>
      <c r="N42" s="429" t="s">
        <v>214</v>
      </c>
      <c r="O42" s="292">
        <v>25</v>
      </c>
      <c r="P42" s="292">
        <v>1</v>
      </c>
    </row>
    <row r="43" spans="1:31" ht="24" customHeight="1">
      <c r="A43" s="309" t="s">
        <v>23</v>
      </c>
      <c r="B43" s="352"/>
      <c r="C43" s="320"/>
      <c r="D43" s="320"/>
      <c r="E43" s="320"/>
      <c r="F43" s="335" t="s">
        <v>70</v>
      </c>
      <c r="G43" s="335" t="s">
        <v>70</v>
      </c>
      <c r="H43" s="369" t="s">
        <v>58</v>
      </c>
      <c r="I43" s="374"/>
      <c r="J43" s="374"/>
      <c r="K43" s="370"/>
      <c r="L43" s="307"/>
      <c r="M43" s="308"/>
      <c r="N43" s="452" t="s">
        <v>199</v>
      </c>
      <c r="O43" s="292">
        <v>2.3809999999999998</v>
      </c>
      <c r="P43" s="292">
        <f>P42*O43/O42</f>
        <v>9.5239999999999991E-2</v>
      </c>
      <c r="Y43" s="459" t="s">
        <v>233</v>
      </c>
      <c r="Z43" s="460" t="s">
        <v>234</v>
      </c>
      <c r="AA43" s="461" t="s">
        <v>235</v>
      </c>
      <c r="AB43" s="461" t="s">
        <v>216</v>
      </c>
    </row>
    <row r="44" spans="1:31" ht="24" customHeight="1">
      <c r="A44" s="309" t="s">
        <v>24</v>
      </c>
      <c r="B44" s="352"/>
      <c r="C44" s="320"/>
      <c r="D44" s="320"/>
      <c r="E44" s="320"/>
      <c r="F44" s="335" t="s">
        <v>137</v>
      </c>
      <c r="G44" s="335" t="s">
        <v>138</v>
      </c>
      <c r="H44" s="369" t="s">
        <v>147</v>
      </c>
      <c r="I44" s="374"/>
      <c r="J44" s="374"/>
      <c r="K44" s="370"/>
      <c r="L44" s="307"/>
      <c r="M44" s="308"/>
      <c r="N44" s="487" t="s">
        <v>237</v>
      </c>
      <c r="Y44" s="462">
        <v>1</v>
      </c>
      <c r="Z44" s="463" t="s">
        <v>272</v>
      </c>
      <c r="AA44" s="464">
        <v>350000</v>
      </c>
      <c r="AB44" s="472">
        <v>82420</v>
      </c>
      <c r="AC44" s="436">
        <f>AB44*100/AA44</f>
        <v>23.548571428571428</v>
      </c>
      <c r="AD44" s="292" t="s">
        <v>51</v>
      </c>
    </row>
    <row r="45" spans="1:31" ht="24" customHeight="1">
      <c r="A45" s="309"/>
      <c r="B45" s="352"/>
      <c r="C45" s="320"/>
      <c r="D45" s="320"/>
      <c r="E45" s="320"/>
      <c r="F45" s="320"/>
      <c r="G45" s="320"/>
      <c r="H45" s="369" t="s">
        <v>180</v>
      </c>
      <c r="I45" s="374"/>
      <c r="J45" s="374"/>
      <c r="K45" s="370"/>
      <c r="L45" s="307"/>
      <c r="M45" s="308"/>
      <c r="Y45" s="462">
        <v>2</v>
      </c>
      <c r="Z45" s="463" t="s">
        <v>273</v>
      </c>
      <c r="AA45" s="464">
        <v>350000</v>
      </c>
      <c r="AB45" s="472">
        <v>291695.12</v>
      </c>
      <c r="AC45" s="436">
        <f t="shared" ref="AC45:AC67" si="0">AB45*100/AA45</f>
        <v>83.341462857142858</v>
      </c>
      <c r="AD45" s="292" t="s">
        <v>51</v>
      </c>
    </row>
    <row r="46" spans="1:31" ht="24" customHeight="1">
      <c r="A46" s="309"/>
      <c r="B46" s="352"/>
      <c r="C46" s="320"/>
      <c r="D46" s="320"/>
      <c r="E46" s="320"/>
      <c r="F46" s="320"/>
      <c r="G46" s="311"/>
      <c r="H46" s="369"/>
      <c r="I46" s="323" t="s">
        <v>56</v>
      </c>
      <c r="J46" s="324">
        <f>AC67</f>
        <v>70.974242315789468</v>
      </c>
      <c r="K46" s="370" t="s">
        <v>51</v>
      </c>
      <c r="L46" s="307"/>
      <c r="M46" s="308"/>
      <c r="Y46" s="462">
        <v>3</v>
      </c>
      <c r="Z46" s="463" t="s">
        <v>274</v>
      </c>
      <c r="AA46" s="464">
        <v>350000</v>
      </c>
      <c r="AB46" s="472">
        <v>348818.58</v>
      </c>
      <c r="AC46" s="436">
        <f t="shared" si="0"/>
        <v>99.66245142857143</v>
      </c>
      <c r="AD46" s="292" t="s">
        <v>51</v>
      </c>
    </row>
    <row r="47" spans="1:31" ht="24" customHeight="1">
      <c r="A47" s="309"/>
      <c r="B47" s="352"/>
      <c r="C47" s="320"/>
      <c r="D47" s="320"/>
      <c r="E47" s="320"/>
      <c r="F47" s="320"/>
      <c r="G47" s="320"/>
      <c r="H47" s="333"/>
      <c r="I47" s="306"/>
      <c r="J47" s="306"/>
      <c r="K47" s="312"/>
      <c r="L47" s="307"/>
      <c r="M47" s="308"/>
      <c r="R47" s="498" t="s">
        <v>295</v>
      </c>
      <c r="V47" s="292">
        <f>2*100/3</f>
        <v>66.666666666666671</v>
      </c>
      <c r="Y47" s="462">
        <v>4</v>
      </c>
      <c r="Z47" s="522" t="s">
        <v>275</v>
      </c>
      <c r="AA47" s="464">
        <v>0</v>
      </c>
      <c r="AB47" s="472">
        <v>0</v>
      </c>
      <c r="AC47" s="436"/>
      <c r="AD47" s="292" t="s">
        <v>51</v>
      </c>
    </row>
    <row r="48" spans="1:31" ht="24" customHeight="1">
      <c r="A48" s="302" t="s">
        <v>181</v>
      </c>
      <c r="B48" s="403">
        <v>4.17</v>
      </c>
      <c r="C48" s="332">
        <v>0.96</v>
      </c>
      <c r="D48" s="332">
        <v>0.97</v>
      </c>
      <c r="E48" s="332">
        <v>0.98</v>
      </c>
      <c r="F48" s="332">
        <v>0.99</v>
      </c>
      <c r="G48" s="332">
        <v>1</v>
      </c>
      <c r="H48" s="371" t="s">
        <v>148</v>
      </c>
      <c r="I48" s="372"/>
      <c r="J48" s="372"/>
      <c r="K48" s="373"/>
      <c r="L48" s="304">
        <v>1</v>
      </c>
      <c r="M48" s="305">
        <f>IF(L48=0,"-",ROUND(L48*B48/B$98,4))</f>
        <v>4.1700000000000001E-2</v>
      </c>
      <c r="N48" s="429" t="s">
        <v>214</v>
      </c>
      <c r="O48" s="454" t="s">
        <v>215</v>
      </c>
      <c r="P48" s="455"/>
      <c r="Q48" s="456"/>
      <c r="R48" s="457">
        <v>338893213</v>
      </c>
      <c r="Y48" s="488">
        <v>5</v>
      </c>
      <c r="Z48" s="465" t="s">
        <v>276</v>
      </c>
      <c r="AA48" s="466">
        <v>600000</v>
      </c>
      <c r="AB48" s="473">
        <v>260396.85</v>
      </c>
      <c r="AC48" s="436">
        <f t="shared" si="0"/>
        <v>43.399475000000002</v>
      </c>
      <c r="AD48" s="292" t="s">
        <v>51</v>
      </c>
      <c r="AE48" s="451"/>
    </row>
    <row r="49" spans="1:31" ht="24" customHeight="1">
      <c r="A49" s="309" t="s">
        <v>26</v>
      </c>
      <c r="B49" s="352"/>
      <c r="C49" s="320"/>
      <c r="D49" s="320"/>
      <c r="E49" s="320"/>
      <c r="F49" s="320"/>
      <c r="G49" s="320"/>
      <c r="H49" s="380" t="s">
        <v>149</v>
      </c>
      <c r="I49" s="381"/>
      <c r="J49" s="381"/>
      <c r="K49" s="382"/>
      <c r="L49" s="307"/>
      <c r="M49" s="308"/>
      <c r="N49" s="452" t="s">
        <v>200</v>
      </c>
      <c r="O49" s="447" t="s">
        <v>216</v>
      </c>
      <c r="P49" s="448"/>
      <c r="Q49" s="450"/>
      <c r="R49" s="477">
        <v>322632685</v>
      </c>
      <c r="Y49" s="489"/>
      <c r="Z49" s="467" t="s">
        <v>277</v>
      </c>
      <c r="AA49" s="468">
        <v>600000</v>
      </c>
      <c r="AB49" s="474">
        <v>454448.05</v>
      </c>
      <c r="AC49" s="436">
        <f t="shared" si="0"/>
        <v>75.741341666666671</v>
      </c>
      <c r="AD49" s="292" t="s">
        <v>51</v>
      </c>
      <c r="AE49" s="451"/>
    </row>
    <row r="50" spans="1:31" ht="24" customHeight="1">
      <c r="A50" s="309"/>
      <c r="B50" s="352"/>
      <c r="C50" s="320"/>
      <c r="D50" s="320"/>
      <c r="E50" s="320"/>
      <c r="F50" s="320"/>
      <c r="G50" s="320"/>
      <c r="H50" s="380" t="s">
        <v>75</v>
      </c>
      <c r="I50" s="381"/>
      <c r="J50" s="381"/>
      <c r="K50" s="382"/>
      <c r="L50" s="307"/>
      <c r="M50" s="308"/>
      <c r="R50" s="438">
        <f>R49*100/R48</f>
        <v>95.201872632368122</v>
      </c>
      <c r="S50" s="292" t="s">
        <v>51</v>
      </c>
      <c r="Y50" s="490"/>
      <c r="Z50" s="467" t="s">
        <v>278</v>
      </c>
      <c r="AA50" s="470">
        <v>600000</v>
      </c>
      <c r="AB50" s="475">
        <v>205275</v>
      </c>
      <c r="AC50" s="436">
        <f t="shared" si="0"/>
        <v>34.212499999999999</v>
      </c>
      <c r="AD50" s="292" t="s">
        <v>51</v>
      </c>
    </row>
    <row r="51" spans="1:31" ht="43.5" customHeight="1">
      <c r="A51" s="309"/>
      <c r="B51" s="352"/>
      <c r="C51" s="320"/>
      <c r="D51" s="320"/>
      <c r="E51" s="320"/>
      <c r="F51" s="320"/>
      <c r="G51" s="320"/>
      <c r="H51" s="380" t="s">
        <v>182</v>
      </c>
      <c r="I51" s="383"/>
      <c r="J51" s="383"/>
      <c r="K51" s="384"/>
      <c r="L51" s="307"/>
      <c r="M51" s="308"/>
      <c r="N51" s="487" t="s">
        <v>237</v>
      </c>
      <c r="Y51" s="488">
        <v>6</v>
      </c>
      <c r="Z51" s="517" t="s">
        <v>281</v>
      </c>
      <c r="AA51" s="466">
        <v>350000</v>
      </c>
      <c r="AB51" s="473">
        <v>294881</v>
      </c>
      <c r="AC51" s="436">
        <f t="shared" si="0"/>
        <v>84.251714285714286</v>
      </c>
      <c r="AD51" s="292" t="s">
        <v>51</v>
      </c>
    </row>
    <row r="52" spans="1:31" ht="24" customHeight="1">
      <c r="A52" s="309"/>
      <c r="B52" s="352"/>
      <c r="C52" s="320"/>
      <c r="D52" s="320"/>
      <c r="E52" s="320"/>
      <c r="F52" s="320"/>
      <c r="G52" s="311"/>
      <c r="H52" s="369"/>
      <c r="I52" s="323" t="s">
        <v>56</v>
      </c>
      <c r="J52" s="324">
        <f>R50</f>
        <v>95.201872632368122</v>
      </c>
      <c r="K52" s="370" t="s">
        <v>51</v>
      </c>
      <c r="L52" s="307"/>
      <c r="M52" s="308"/>
      <c r="Y52" s="491"/>
      <c r="Z52" s="467" t="s">
        <v>282</v>
      </c>
      <c r="AA52" s="468">
        <v>350000</v>
      </c>
      <c r="AB52" s="474">
        <v>311716</v>
      </c>
      <c r="AC52" s="436">
        <f t="shared" si="0"/>
        <v>89.061714285714288</v>
      </c>
      <c r="AD52" s="292" t="s">
        <v>51</v>
      </c>
    </row>
    <row r="53" spans="1:31" ht="24" customHeight="1">
      <c r="A53" s="325"/>
      <c r="B53" s="359"/>
      <c r="C53" s="310"/>
      <c r="D53" s="310"/>
      <c r="E53" s="310"/>
      <c r="F53" s="310"/>
      <c r="G53" s="310"/>
      <c r="H53" s="329"/>
      <c r="I53" s="376"/>
      <c r="J53" s="376"/>
      <c r="K53" s="377"/>
      <c r="L53" s="326"/>
      <c r="M53" s="299"/>
      <c r="P53" s="437" t="s">
        <v>218</v>
      </c>
      <c r="Q53" s="437" t="s">
        <v>219</v>
      </c>
      <c r="T53" s="437" t="s">
        <v>218</v>
      </c>
      <c r="U53" s="437" t="s">
        <v>219</v>
      </c>
      <c r="Y53" s="490"/>
      <c r="Z53" s="469" t="s">
        <v>283</v>
      </c>
      <c r="AA53" s="470">
        <v>600000</v>
      </c>
      <c r="AB53" s="475">
        <v>120782</v>
      </c>
      <c r="AC53" s="436">
        <f t="shared" si="0"/>
        <v>20.130333333333333</v>
      </c>
      <c r="AD53" s="292" t="s">
        <v>51</v>
      </c>
      <c r="AE53" s="487" t="s">
        <v>279</v>
      </c>
    </row>
    <row r="54" spans="1:31" ht="24" customHeight="1">
      <c r="A54" s="302" t="s">
        <v>183</v>
      </c>
      <c r="B54" s="403">
        <v>4.17</v>
      </c>
      <c r="C54" s="332">
        <v>0.8</v>
      </c>
      <c r="D54" s="332">
        <v>0.85</v>
      </c>
      <c r="E54" s="332">
        <v>0.9</v>
      </c>
      <c r="F54" s="332">
        <v>0.95</v>
      </c>
      <c r="G54" s="332">
        <v>1</v>
      </c>
      <c r="H54" s="386" t="s">
        <v>150</v>
      </c>
      <c r="I54" s="387"/>
      <c r="J54" s="387"/>
      <c r="K54" s="388"/>
      <c r="L54" s="304">
        <v>1</v>
      </c>
      <c r="M54" s="305">
        <f>IF(L54=0,"-",ROUND(L54*B54/B$98,4))</f>
        <v>4.1700000000000001E-2</v>
      </c>
      <c r="N54" s="429" t="s">
        <v>214</v>
      </c>
      <c r="O54" s="292" t="s">
        <v>217</v>
      </c>
      <c r="P54" s="437">
        <v>10</v>
      </c>
      <c r="Q54" s="476">
        <v>4</v>
      </c>
      <c r="R54" s="292" t="s">
        <v>305</v>
      </c>
      <c r="S54" s="298" t="s">
        <v>303</v>
      </c>
      <c r="T54" s="437">
        <v>1</v>
      </c>
      <c r="U54" s="476">
        <v>1</v>
      </c>
      <c r="V54" s="292" t="s">
        <v>302</v>
      </c>
      <c r="Y54" s="462">
        <v>7</v>
      </c>
      <c r="Z54" s="522" t="s">
        <v>275</v>
      </c>
      <c r="AA54" s="464">
        <v>0</v>
      </c>
      <c r="AB54" s="472">
        <v>0</v>
      </c>
      <c r="AC54" s="436"/>
    </row>
    <row r="55" spans="1:31" ht="24" customHeight="1">
      <c r="A55" s="309" t="s">
        <v>28</v>
      </c>
      <c r="B55" s="352"/>
      <c r="C55" s="320"/>
      <c r="D55" s="320"/>
      <c r="E55" s="320"/>
      <c r="F55" s="320"/>
      <c r="G55" s="320"/>
      <c r="H55" s="369" t="s">
        <v>154</v>
      </c>
      <c r="I55" s="374"/>
      <c r="J55" s="374"/>
      <c r="K55" s="370"/>
      <c r="L55" s="307"/>
      <c r="M55" s="308"/>
      <c r="N55" s="452" t="s">
        <v>201</v>
      </c>
      <c r="P55" s="437">
        <v>2</v>
      </c>
      <c r="Q55" s="476">
        <v>2</v>
      </c>
      <c r="R55" s="292" t="s">
        <v>302</v>
      </c>
      <c r="S55" s="298" t="s">
        <v>226</v>
      </c>
      <c r="T55" s="437">
        <v>9</v>
      </c>
      <c r="U55" s="476">
        <v>2</v>
      </c>
      <c r="V55" s="292" t="s">
        <v>305</v>
      </c>
      <c r="Y55" s="462">
        <v>8</v>
      </c>
      <c r="Z55" s="463" t="s">
        <v>280</v>
      </c>
      <c r="AA55" s="464">
        <v>600000</v>
      </c>
      <c r="AB55" s="472">
        <v>545762.18000000005</v>
      </c>
      <c r="AC55" s="436">
        <f t="shared" si="0"/>
        <v>90.960363333333348</v>
      </c>
      <c r="AD55" s="292" t="s">
        <v>51</v>
      </c>
    </row>
    <row r="56" spans="1:31" ht="24" customHeight="1">
      <c r="A56" s="309" t="s">
        <v>60</v>
      </c>
      <c r="B56" s="352"/>
      <c r="C56" s="320"/>
      <c r="D56" s="320"/>
      <c r="E56" s="320"/>
      <c r="F56" s="320"/>
      <c r="G56" s="320"/>
      <c r="H56" s="369" t="s">
        <v>64</v>
      </c>
      <c r="I56" s="374"/>
      <c r="J56" s="374"/>
      <c r="K56" s="370"/>
      <c r="L56" s="307"/>
      <c r="M56" s="308"/>
      <c r="N56" s="487" t="s">
        <v>237</v>
      </c>
      <c r="P56" s="437">
        <v>2</v>
      </c>
      <c r="Q56" s="476">
        <v>2</v>
      </c>
      <c r="R56" s="292" t="s">
        <v>308</v>
      </c>
      <c r="S56" s="298" t="s">
        <v>20</v>
      </c>
      <c r="T56" s="438">
        <f>T55+P66+P65+P64+P60+P59+P57+P54+P62+P63+T54+P58+P55+P56+P61</f>
        <v>53</v>
      </c>
      <c r="U56" s="439">
        <f>U55+Q66+Q65+Q64+Q60+Q59+Q57+Q54+Q62+Q63+U54+Q58+Q55+Q56+Q61</f>
        <v>36</v>
      </c>
      <c r="Y56" s="462">
        <v>9</v>
      </c>
      <c r="Z56" s="463" t="s">
        <v>284</v>
      </c>
      <c r="AA56" s="464">
        <v>350000</v>
      </c>
      <c r="AB56" s="472">
        <v>345470</v>
      </c>
      <c r="AC56" s="436">
        <f t="shared" si="0"/>
        <v>98.705714285714279</v>
      </c>
      <c r="AD56" s="292" t="s">
        <v>51</v>
      </c>
    </row>
    <row r="57" spans="1:31" ht="24" customHeight="1">
      <c r="A57" s="309"/>
      <c r="B57" s="352"/>
      <c r="C57" s="320"/>
      <c r="D57" s="320"/>
      <c r="E57" s="320"/>
      <c r="F57" s="320"/>
      <c r="G57" s="320"/>
      <c r="H57" s="380" t="s">
        <v>180</v>
      </c>
      <c r="I57" s="323"/>
      <c r="J57" s="525" t="s">
        <v>310</v>
      </c>
      <c r="K57" s="382"/>
      <c r="L57" s="307"/>
      <c r="M57" s="308"/>
      <c r="O57" s="292" t="s">
        <v>220</v>
      </c>
      <c r="P57" s="437">
        <v>8</v>
      </c>
      <c r="Q57" s="476">
        <v>5</v>
      </c>
      <c r="R57" s="292" t="s">
        <v>305</v>
      </c>
      <c r="U57" s="306" t="s">
        <v>309</v>
      </c>
      <c r="V57" s="292" t="s">
        <v>51</v>
      </c>
      <c r="Y57" s="488">
        <v>10</v>
      </c>
      <c r="Z57" s="465" t="s">
        <v>285</v>
      </c>
      <c r="AA57" s="466">
        <v>300000</v>
      </c>
      <c r="AB57" s="473">
        <v>265711.90000000002</v>
      </c>
      <c r="AC57" s="436">
        <f t="shared" si="0"/>
        <v>88.570633333333348</v>
      </c>
      <c r="AD57" s="292" t="s">
        <v>51</v>
      </c>
    </row>
    <row r="58" spans="1:31" ht="24" customHeight="1">
      <c r="A58" s="309"/>
      <c r="B58" s="352"/>
      <c r="C58" s="320"/>
      <c r="D58" s="320"/>
      <c r="E58" s="320"/>
      <c r="F58" s="320"/>
      <c r="G58" s="320"/>
      <c r="H58" s="380"/>
      <c r="I58" s="323" t="s">
        <v>66</v>
      </c>
      <c r="J58" s="334">
        <f>T56</f>
        <v>53</v>
      </c>
      <c r="K58" s="382" t="s">
        <v>61</v>
      </c>
      <c r="L58" s="307"/>
      <c r="M58" s="308"/>
      <c r="O58" s="292" t="s">
        <v>304</v>
      </c>
      <c r="P58" s="437">
        <v>3</v>
      </c>
      <c r="Q58" s="476">
        <v>3</v>
      </c>
      <c r="R58" s="292" t="s">
        <v>302</v>
      </c>
      <c r="S58" s="306"/>
      <c r="T58" s="306"/>
      <c r="Y58" s="489"/>
      <c r="Z58" s="467" t="s">
        <v>286</v>
      </c>
      <c r="AA58" s="468">
        <v>300000</v>
      </c>
      <c r="AB58" s="474">
        <v>281131.71000000002</v>
      </c>
      <c r="AC58" s="436">
        <f t="shared" si="0"/>
        <v>93.710570000000018</v>
      </c>
      <c r="AD58" s="292" t="s">
        <v>51</v>
      </c>
    </row>
    <row r="59" spans="1:31" ht="24" customHeight="1">
      <c r="A59" s="309"/>
      <c r="B59" s="352"/>
      <c r="C59" s="320"/>
      <c r="D59" s="320"/>
      <c r="E59" s="320"/>
      <c r="F59" s="320"/>
      <c r="G59" s="320"/>
      <c r="H59" s="380"/>
      <c r="I59" s="323" t="s">
        <v>67</v>
      </c>
      <c r="J59" s="334">
        <f>U56</f>
        <v>36</v>
      </c>
      <c r="K59" s="382" t="s">
        <v>61</v>
      </c>
      <c r="L59" s="307"/>
      <c r="M59" s="308"/>
      <c r="O59" s="292" t="s">
        <v>221</v>
      </c>
      <c r="P59" s="437">
        <v>3</v>
      </c>
      <c r="Q59" s="476">
        <v>3</v>
      </c>
      <c r="R59" s="292" t="s">
        <v>305</v>
      </c>
      <c r="S59" s="306"/>
      <c r="T59" s="306"/>
      <c r="U59" s="292" t="s">
        <v>309</v>
      </c>
      <c r="Y59" s="490"/>
      <c r="Z59" s="469" t="s">
        <v>287</v>
      </c>
      <c r="AA59" s="470">
        <v>350000</v>
      </c>
      <c r="AB59" s="475">
        <v>316307.05</v>
      </c>
      <c r="AC59" s="436">
        <f t="shared" si="0"/>
        <v>90.373442857142862</v>
      </c>
      <c r="AD59" s="292" t="s">
        <v>51</v>
      </c>
    </row>
    <row r="60" spans="1:31" ht="24" customHeight="1">
      <c r="A60" s="309"/>
      <c r="B60" s="352"/>
      <c r="C60" s="320"/>
      <c r="D60" s="320"/>
      <c r="E60" s="320"/>
      <c r="F60" s="320"/>
      <c r="G60" s="320"/>
      <c r="H60" s="369"/>
      <c r="I60" s="323" t="s">
        <v>81</v>
      </c>
      <c r="J60" s="526">
        <f>J59*100/J58</f>
        <v>67.924528301886795</v>
      </c>
      <c r="K60" s="370" t="s">
        <v>51</v>
      </c>
      <c r="L60" s="307"/>
      <c r="M60" s="308"/>
      <c r="O60" s="292" t="s">
        <v>222</v>
      </c>
      <c r="P60" s="437">
        <v>6</v>
      </c>
      <c r="Q60" s="476">
        <v>5</v>
      </c>
      <c r="R60" s="292" t="s">
        <v>305</v>
      </c>
      <c r="S60" s="306"/>
      <c r="T60" s="306"/>
      <c r="Y60" s="462">
        <v>11</v>
      </c>
      <c r="Z60" s="463" t="s">
        <v>288</v>
      </c>
      <c r="AA60" s="464">
        <v>600000</v>
      </c>
      <c r="AB60" s="472">
        <v>215798.55</v>
      </c>
      <c r="AC60" s="436">
        <f t="shared" si="0"/>
        <v>35.966425000000001</v>
      </c>
      <c r="AD60" s="292" t="s">
        <v>51</v>
      </c>
    </row>
    <row r="61" spans="1:31" ht="24" customHeight="1">
      <c r="A61" s="325"/>
      <c r="B61" s="359"/>
      <c r="C61" s="310"/>
      <c r="D61" s="310"/>
      <c r="E61" s="310"/>
      <c r="F61" s="310"/>
      <c r="G61" s="310"/>
      <c r="H61" s="375"/>
      <c r="I61" s="376"/>
      <c r="J61" s="376"/>
      <c r="K61" s="377"/>
      <c r="L61" s="326"/>
      <c r="M61" s="299"/>
      <c r="P61" s="437">
        <v>2</v>
      </c>
      <c r="Q61" s="476">
        <v>2</v>
      </c>
      <c r="R61" s="292" t="s">
        <v>308</v>
      </c>
      <c r="Y61" s="462">
        <v>12</v>
      </c>
      <c r="Z61" s="463" t="s">
        <v>289</v>
      </c>
      <c r="AA61" s="464">
        <v>600000</v>
      </c>
      <c r="AB61" s="472">
        <v>554047.48</v>
      </c>
      <c r="AC61" s="436">
        <f t="shared" si="0"/>
        <v>92.341246666666663</v>
      </c>
      <c r="AD61" s="292" t="s">
        <v>51</v>
      </c>
    </row>
    <row r="62" spans="1:31" ht="24" customHeight="1">
      <c r="A62" s="302" t="s">
        <v>184</v>
      </c>
      <c r="B62" s="403">
        <v>4.17</v>
      </c>
      <c r="C62" s="332">
        <v>0.5</v>
      </c>
      <c r="D62" s="332">
        <v>0.75</v>
      </c>
      <c r="E62" s="332">
        <v>1</v>
      </c>
      <c r="F62" s="332">
        <v>1</v>
      </c>
      <c r="G62" s="332">
        <v>1</v>
      </c>
      <c r="H62" s="371" t="s">
        <v>152</v>
      </c>
      <c r="I62" s="372"/>
      <c r="J62" s="372"/>
      <c r="K62" s="373"/>
      <c r="L62" s="304">
        <v>1</v>
      </c>
      <c r="M62" s="305">
        <f>IF(L62=0,"-",ROUND(L62*B62/B$98,4))</f>
        <v>4.1700000000000001E-2</v>
      </c>
      <c r="N62" s="429" t="s">
        <v>214</v>
      </c>
      <c r="O62" s="292" t="s">
        <v>300</v>
      </c>
      <c r="P62" s="437">
        <v>1</v>
      </c>
      <c r="Q62" s="476">
        <v>1</v>
      </c>
      <c r="R62" s="292" t="s">
        <v>302</v>
      </c>
      <c r="Y62" s="488">
        <v>13</v>
      </c>
      <c r="Z62" s="467" t="s">
        <v>290</v>
      </c>
      <c r="AA62" s="466">
        <v>350000</v>
      </c>
      <c r="AB62" s="473">
        <v>298566.59999999998</v>
      </c>
      <c r="AC62" s="436">
        <f t="shared" si="0"/>
        <v>85.304742857142841</v>
      </c>
      <c r="AD62" s="292" t="s">
        <v>51</v>
      </c>
    </row>
    <row r="63" spans="1:31" ht="24" customHeight="1">
      <c r="A63" s="309" t="s">
        <v>151</v>
      </c>
      <c r="B63" s="406"/>
      <c r="C63" s="335"/>
      <c r="D63" s="335"/>
      <c r="E63" s="335"/>
      <c r="F63" s="335" t="s">
        <v>70</v>
      </c>
      <c r="G63" s="335" t="s">
        <v>70</v>
      </c>
      <c r="H63" s="374" t="s">
        <v>153</v>
      </c>
      <c r="I63" s="374"/>
      <c r="J63" s="374"/>
      <c r="K63" s="370"/>
      <c r="L63" s="307"/>
      <c r="M63" s="308"/>
      <c r="N63" s="429" t="s">
        <v>237</v>
      </c>
      <c r="O63" s="292" t="s">
        <v>301</v>
      </c>
      <c r="P63" s="437">
        <v>2</v>
      </c>
      <c r="Q63" s="476">
        <v>2</v>
      </c>
      <c r="R63" s="292" t="s">
        <v>302</v>
      </c>
      <c r="Y63" s="491"/>
      <c r="Z63" s="467" t="s">
        <v>291</v>
      </c>
      <c r="AA63" s="468">
        <v>350000</v>
      </c>
      <c r="AB63" s="474">
        <v>255399.9</v>
      </c>
      <c r="AC63" s="436">
        <f t="shared" si="0"/>
        <v>72.971400000000003</v>
      </c>
      <c r="AD63" s="292" t="s">
        <v>51</v>
      </c>
    </row>
    <row r="64" spans="1:31" ht="24" customHeight="1">
      <c r="A64" s="309"/>
      <c r="B64" s="406"/>
      <c r="C64" s="335"/>
      <c r="D64" s="335"/>
      <c r="E64" s="335"/>
      <c r="F64" s="335" t="s">
        <v>137</v>
      </c>
      <c r="G64" s="335" t="s">
        <v>138</v>
      </c>
      <c r="H64" s="374" t="s">
        <v>180</v>
      </c>
      <c r="I64" s="374"/>
      <c r="J64" s="374"/>
      <c r="K64" s="370"/>
      <c r="L64" s="307"/>
      <c r="M64" s="308"/>
      <c r="N64" s="429"/>
      <c r="O64" s="292" t="s">
        <v>223</v>
      </c>
      <c r="P64" s="437"/>
      <c r="Q64" s="476"/>
      <c r="R64" s="292" t="s">
        <v>307</v>
      </c>
      <c r="Y64" s="518"/>
      <c r="Z64" s="491" t="s">
        <v>292</v>
      </c>
      <c r="AA64" s="519">
        <v>350000</v>
      </c>
      <c r="AB64" s="474">
        <v>234988.55</v>
      </c>
      <c r="AC64" s="436">
        <f t="shared" si="0"/>
        <v>67.139585714285715</v>
      </c>
      <c r="AD64" s="292" t="s">
        <v>51</v>
      </c>
    </row>
    <row r="65" spans="1:30" ht="24" customHeight="1">
      <c r="A65" s="309"/>
      <c r="B65" s="406"/>
      <c r="C65" s="336"/>
      <c r="D65" s="336"/>
      <c r="E65" s="336"/>
      <c r="F65" s="336"/>
      <c r="G65" s="390"/>
      <c r="H65" s="369"/>
      <c r="I65" s="323" t="s">
        <v>56</v>
      </c>
      <c r="J65" s="324">
        <v>50</v>
      </c>
      <c r="K65" s="370" t="s">
        <v>51</v>
      </c>
      <c r="L65" s="307"/>
      <c r="M65" s="308"/>
      <c r="N65" s="429"/>
      <c r="O65" s="292" t="s">
        <v>224</v>
      </c>
      <c r="P65" s="437"/>
      <c r="Q65" s="476"/>
      <c r="R65" s="292" t="s">
        <v>306</v>
      </c>
      <c r="Y65" s="491"/>
      <c r="Z65" s="467" t="s">
        <v>293</v>
      </c>
      <c r="AA65" s="468">
        <v>600000</v>
      </c>
      <c r="AB65" s="474">
        <v>546368.19999999995</v>
      </c>
      <c r="AC65" s="436">
        <f t="shared" si="0"/>
        <v>91.061366666666657</v>
      </c>
      <c r="AD65" s="292" t="s">
        <v>51</v>
      </c>
    </row>
    <row r="66" spans="1:30" ht="24" customHeight="1">
      <c r="A66" s="325"/>
      <c r="B66" s="359"/>
      <c r="C66" s="310"/>
      <c r="D66" s="310"/>
      <c r="E66" s="310"/>
      <c r="F66" s="310"/>
      <c r="G66" s="310"/>
      <c r="H66" s="375"/>
      <c r="I66" s="378"/>
      <c r="J66" s="378"/>
      <c r="K66" s="379"/>
      <c r="L66" s="326"/>
      <c r="M66" s="299"/>
      <c r="N66" s="429"/>
      <c r="O66" s="292" t="s">
        <v>225</v>
      </c>
      <c r="P66" s="437">
        <v>4</v>
      </c>
      <c r="Q66" s="476">
        <v>4</v>
      </c>
      <c r="R66" s="292" t="s">
        <v>305</v>
      </c>
      <c r="Y66" s="492"/>
      <c r="Z66" s="492" t="s">
        <v>294</v>
      </c>
      <c r="AA66" s="470">
        <v>600000</v>
      </c>
      <c r="AB66" s="475">
        <v>512568.3</v>
      </c>
      <c r="AC66" s="436">
        <f t="shared" si="0"/>
        <v>85.428049999999999</v>
      </c>
      <c r="AD66" s="292" t="s">
        <v>51</v>
      </c>
    </row>
    <row r="67" spans="1:30" ht="24" customHeight="1">
      <c r="A67" s="302" t="s">
        <v>185</v>
      </c>
      <c r="B67" s="403">
        <v>12.5</v>
      </c>
      <c r="C67" s="332">
        <v>0.78</v>
      </c>
      <c r="D67" s="332">
        <v>0.81</v>
      </c>
      <c r="E67" s="332">
        <v>0.84</v>
      </c>
      <c r="F67" s="332">
        <v>0.87</v>
      </c>
      <c r="G67" s="332">
        <v>0.9</v>
      </c>
      <c r="H67" s="421" t="s">
        <v>186</v>
      </c>
      <c r="I67" s="422"/>
      <c r="J67" s="422"/>
      <c r="K67" s="423"/>
      <c r="L67" s="304">
        <v>1</v>
      </c>
      <c r="M67" s="305">
        <f>IF(L67=0,"-",ROUND(L67*B67/B$98,4))</f>
        <v>0.125</v>
      </c>
      <c r="N67" s="429" t="s">
        <v>214</v>
      </c>
      <c r="O67" s="429" t="s">
        <v>296</v>
      </c>
      <c r="Y67" s="460"/>
      <c r="Z67" s="471" t="s">
        <v>236</v>
      </c>
      <c r="AA67" s="461">
        <f>SUM(AA44:AA66)</f>
        <v>9500000</v>
      </c>
      <c r="AB67" s="461">
        <f>SUM(AB44:AB66)</f>
        <v>6742553.0199999986</v>
      </c>
      <c r="AC67" s="521">
        <f t="shared" si="0"/>
        <v>70.974242315789468</v>
      </c>
      <c r="AD67" s="292" t="s">
        <v>51</v>
      </c>
    </row>
    <row r="68" spans="1:30" ht="24" customHeight="1">
      <c r="A68" s="309" t="s">
        <v>85</v>
      </c>
      <c r="B68" s="352"/>
      <c r="C68" s="320"/>
      <c r="D68" s="320"/>
      <c r="E68" s="320"/>
      <c r="F68" s="320"/>
      <c r="G68" s="320"/>
      <c r="H68" s="424" t="s">
        <v>196</v>
      </c>
      <c r="I68" s="426"/>
      <c r="J68" s="426"/>
      <c r="K68" s="425"/>
      <c r="L68" s="307"/>
      <c r="M68" s="308"/>
      <c r="N68" s="429" t="s">
        <v>237</v>
      </c>
      <c r="O68" s="292" t="s">
        <v>297</v>
      </c>
      <c r="Y68" s="460"/>
      <c r="Z68" s="467"/>
      <c r="AA68" s="461"/>
      <c r="AB68" s="461"/>
    </row>
    <row r="69" spans="1:30" ht="24" customHeight="1">
      <c r="A69" s="309"/>
      <c r="B69" s="352"/>
      <c r="C69" s="320"/>
      <c r="D69" s="320"/>
      <c r="E69" s="320"/>
      <c r="F69" s="320"/>
      <c r="G69" s="320"/>
      <c r="H69" s="327"/>
      <c r="I69" s="327" t="s">
        <v>87</v>
      </c>
      <c r="J69" s="433">
        <v>5504430000</v>
      </c>
      <c r="K69" s="425" t="s">
        <v>187</v>
      </c>
      <c r="L69" s="307"/>
      <c r="M69" s="308"/>
      <c r="N69" s="429"/>
      <c r="O69" s="405" t="s">
        <v>299</v>
      </c>
      <c r="Z69" s="467"/>
    </row>
    <row r="70" spans="1:30" ht="24" customHeight="1">
      <c r="A70" s="309"/>
      <c r="B70" s="352"/>
      <c r="C70" s="320"/>
      <c r="D70" s="320"/>
      <c r="E70" s="320"/>
      <c r="F70" s="320"/>
      <c r="G70" s="320"/>
      <c r="H70" s="327"/>
      <c r="I70" s="323" t="s">
        <v>188</v>
      </c>
      <c r="J70" s="434">
        <v>3141300000</v>
      </c>
      <c r="K70" s="425" t="s">
        <v>187</v>
      </c>
      <c r="L70" s="307"/>
      <c r="M70" s="308"/>
      <c r="N70" s="429"/>
      <c r="Z70" s="467"/>
    </row>
    <row r="71" spans="1:30" ht="24" customHeight="1">
      <c r="A71" s="309"/>
      <c r="B71" s="352"/>
      <c r="C71" s="320"/>
      <c r="D71" s="320"/>
      <c r="E71" s="320"/>
      <c r="F71" s="320"/>
      <c r="G71" s="320"/>
      <c r="H71" s="327"/>
      <c r="I71" s="323" t="s">
        <v>189</v>
      </c>
      <c r="J71" s="430">
        <f>J70*100/J69</f>
        <v>57.068579307939238</v>
      </c>
      <c r="K71" s="425" t="s">
        <v>51</v>
      </c>
      <c r="L71" s="307"/>
      <c r="M71" s="308"/>
      <c r="N71" s="429"/>
    </row>
    <row r="72" spans="1:30" ht="24" customHeight="1">
      <c r="A72" s="325"/>
      <c r="B72" s="359"/>
      <c r="C72" s="310"/>
      <c r="D72" s="310"/>
      <c r="E72" s="310"/>
      <c r="F72" s="310"/>
      <c r="G72" s="310"/>
      <c r="H72" s="337"/>
      <c r="I72" s="427"/>
      <c r="J72" s="338"/>
      <c r="K72" s="428"/>
      <c r="L72" s="326"/>
      <c r="M72" s="299"/>
      <c r="N72" s="429"/>
    </row>
    <row r="73" spans="1:30" ht="24" customHeight="1">
      <c r="A73" s="339" t="s">
        <v>190</v>
      </c>
      <c r="B73" s="407">
        <v>4.17</v>
      </c>
      <c r="C73" s="340">
        <v>0.65</v>
      </c>
      <c r="D73" s="340">
        <v>0.7</v>
      </c>
      <c r="E73" s="340">
        <v>0.75</v>
      </c>
      <c r="F73" s="340">
        <v>0.8</v>
      </c>
      <c r="G73" s="340">
        <v>0.85</v>
      </c>
      <c r="H73" s="371" t="s">
        <v>156</v>
      </c>
      <c r="I73" s="372"/>
      <c r="J73" s="372"/>
      <c r="K73" s="373"/>
      <c r="L73" s="304">
        <v>1</v>
      </c>
      <c r="M73" s="305">
        <f>IF(L73=0,"-",ROUND(L73*B73/B$98,4))</f>
        <v>4.1700000000000001E-2</v>
      </c>
      <c r="N73" s="429" t="s">
        <v>214</v>
      </c>
    </row>
    <row r="74" spans="1:30" ht="24" customHeight="1">
      <c r="A74" s="309" t="s">
        <v>145</v>
      </c>
      <c r="B74" s="352"/>
      <c r="C74" s="320"/>
      <c r="D74" s="320"/>
      <c r="E74" s="320"/>
      <c r="F74" s="320"/>
      <c r="G74" s="320"/>
      <c r="H74" s="369" t="s">
        <v>104</v>
      </c>
      <c r="I74" s="374"/>
      <c r="J74" s="374"/>
      <c r="K74" s="370"/>
      <c r="L74" s="307"/>
      <c r="M74" s="308"/>
      <c r="N74" s="429" t="s">
        <v>237</v>
      </c>
    </row>
    <row r="75" spans="1:30" ht="24" customHeight="1">
      <c r="A75" s="389" t="s">
        <v>155</v>
      </c>
      <c r="B75" s="352"/>
      <c r="C75" s="320"/>
      <c r="D75" s="320"/>
      <c r="E75" s="320"/>
      <c r="F75" s="320"/>
      <c r="G75" s="320"/>
      <c r="H75" s="369" t="s">
        <v>105</v>
      </c>
      <c r="I75" s="374"/>
      <c r="J75" s="374"/>
      <c r="K75" s="370"/>
      <c r="L75" s="307"/>
      <c r="M75" s="308"/>
      <c r="N75" s="429"/>
    </row>
    <row r="76" spans="1:30" ht="24" customHeight="1">
      <c r="A76" s="309"/>
      <c r="B76" s="352"/>
      <c r="C76" s="320"/>
      <c r="D76" s="320"/>
      <c r="E76" s="320"/>
      <c r="F76" s="320"/>
      <c r="G76" s="320"/>
      <c r="H76" s="341"/>
      <c r="I76" s="342" t="s">
        <v>113</v>
      </c>
      <c r="J76" s="343" t="s">
        <v>11</v>
      </c>
      <c r="K76" s="370" t="s">
        <v>51</v>
      </c>
      <c r="L76" s="307"/>
      <c r="M76" s="308"/>
      <c r="N76" s="429"/>
    </row>
    <row r="77" spans="1:30" ht="24" customHeight="1">
      <c r="A77" s="325"/>
      <c r="B77" s="359"/>
      <c r="C77" s="310"/>
      <c r="D77" s="310"/>
      <c r="E77" s="310"/>
      <c r="F77" s="310"/>
      <c r="G77" s="416"/>
      <c r="H77" s="705" t="s">
        <v>211</v>
      </c>
      <c r="I77" s="706"/>
      <c r="J77" s="706"/>
      <c r="K77" s="707"/>
      <c r="L77" s="326"/>
      <c r="M77" s="299"/>
      <c r="N77" s="429"/>
    </row>
    <row r="78" spans="1:30" ht="24" customHeight="1">
      <c r="A78" s="302" t="s">
        <v>106</v>
      </c>
      <c r="B78" s="407">
        <v>4.17</v>
      </c>
      <c r="C78" s="346" t="s">
        <v>29</v>
      </c>
      <c r="D78" s="346" t="s">
        <v>30</v>
      </c>
      <c r="E78" s="346" t="s">
        <v>31</v>
      </c>
      <c r="F78" s="346" t="s">
        <v>32</v>
      </c>
      <c r="G78" s="346" t="s">
        <v>33</v>
      </c>
      <c r="H78" s="371" t="s">
        <v>108</v>
      </c>
      <c r="I78" s="372"/>
      <c r="J78" s="372"/>
      <c r="K78" s="373"/>
      <c r="L78" s="304">
        <v>1</v>
      </c>
      <c r="M78" s="305">
        <f>IF(L78=0,"-",ROUND(L78*B78/B$98,4))</f>
        <v>4.1700000000000001E-2</v>
      </c>
      <c r="N78" s="429" t="s">
        <v>214</v>
      </c>
    </row>
    <row r="79" spans="1:30" ht="24" customHeight="1">
      <c r="A79" s="309" t="s">
        <v>107</v>
      </c>
      <c r="B79" s="352"/>
      <c r="C79" s="348">
        <v>1.5</v>
      </c>
      <c r="D79" s="348">
        <v>2</v>
      </c>
      <c r="E79" s="348">
        <v>2.5</v>
      </c>
      <c r="F79" s="348">
        <v>3</v>
      </c>
      <c r="G79" s="348">
        <v>5</v>
      </c>
      <c r="H79" s="369" t="s">
        <v>146</v>
      </c>
      <c r="I79" s="374"/>
      <c r="J79" s="374"/>
      <c r="K79" s="370"/>
      <c r="L79" s="307"/>
      <c r="M79" s="308"/>
      <c r="N79" s="429" t="s">
        <v>237</v>
      </c>
      <c r="P79" s="347"/>
    </row>
    <row r="80" spans="1:30" ht="24" customHeight="1">
      <c r="A80" s="309"/>
      <c r="B80" s="352"/>
      <c r="C80" s="344"/>
      <c r="D80" s="344"/>
      <c r="E80" s="344"/>
      <c r="F80" s="344"/>
      <c r="G80" s="344"/>
      <c r="H80" s="369" t="s">
        <v>110</v>
      </c>
      <c r="I80" s="374"/>
      <c r="J80" s="374"/>
      <c r="K80" s="370"/>
      <c r="L80" s="307"/>
      <c r="M80" s="308"/>
      <c r="N80" s="429"/>
    </row>
    <row r="81" spans="1:32" ht="24" customHeight="1">
      <c r="A81" s="309"/>
      <c r="B81" s="352"/>
      <c r="C81" s="344"/>
      <c r="D81" s="344"/>
      <c r="E81" s="344"/>
      <c r="F81" s="344"/>
      <c r="G81" s="344"/>
      <c r="H81" s="369" t="s">
        <v>191</v>
      </c>
      <c r="I81" s="374"/>
      <c r="J81" s="374"/>
      <c r="K81" s="370"/>
      <c r="L81" s="307"/>
      <c r="M81" s="308"/>
      <c r="N81" s="429"/>
    </row>
    <row r="82" spans="1:32" ht="24" customHeight="1">
      <c r="A82" s="309"/>
      <c r="B82" s="352"/>
      <c r="C82" s="344"/>
      <c r="D82" s="344"/>
      <c r="E82" s="344"/>
      <c r="F82" s="344"/>
      <c r="G82" s="344"/>
      <c r="H82" s="369"/>
      <c r="I82" s="323" t="s">
        <v>112</v>
      </c>
      <c r="J82" s="324">
        <v>0</v>
      </c>
      <c r="K82" s="382"/>
      <c r="L82" s="307"/>
      <c r="M82" s="308"/>
      <c r="N82" s="429"/>
    </row>
    <row r="83" spans="1:32" ht="24" customHeight="1">
      <c r="A83" s="325"/>
      <c r="B83" s="359"/>
      <c r="C83" s="310"/>
      <c r="D83" s="310"/>
      <c r="E83" s="310"/>
      <c r="F83" s="310"/>
      <c r="G83" s="310"/>
      <c r="H83" s="705" t="s">
        <v>213</v>
      </c>
      <c r="I83" s="706"/>
      <c r="J83" s="706"/>
      <c r="K83" s="707"/>
      <c r="L83" s="326"/>
      <c r="M83" s="299"/>
      <c r="N83" s="429"/>
      <c r="R83" s="349"/>
    </row>
    <row r="84" spans="1:32" ht="24" customHeight="1">
      <c r="A84" s="350" t="s">
        <v>132</v>
      </c>
      <c r="B84" s="407">
        <v>4.17</v>
      </c>
      <c r="C84" s="340">
        <v>0.1</v>
      </c>
      <c r="D84" s="340">
        <v>0.3</v>
      </c>
      <c r="E84" s="340">
        <v>0.5</v>
      </c>
      <c r="F84" s="340">
        <v>0.7</v>
      </c>
      <c r="G84" s="340">
        <v>1</v>
      </c>
      <c r="H84" s="371" t="s">
        <v>123</v>
      </c>
      <c r="I84" s="372"/>
      <c r="J84" s="372"/>
      <c r="K84" s="373"/>
      <c r="L84" s="304">
        <f>4+P85</f>
        <v>4.9078333333333335</v>
      </c>
      <c r="M84" s="305">
        <f>IF(L84=0,"-",ROUND(L84*B84/B$98,4))</f>
        <v>0.20469999999999999</v>
      </c>
      <c r="N84" s="429" t="s">
        <v>214</v>
      </c>
      <c r="O84" s="292">
        <v>30</v>
      </c>
      <c r="P84" s="292">
        <v>1</v>
      </c>
    </row>
    <row r="85" spans="1:32" ht="24" customHeight="1">
      <c r="A85" s="351" t="s">
        <v>192</v>
      </c>
      <c r="B85" s="352"/>
      <c r="C85" s="320"/>
      <c r="D85" s="320"/>
      <c r="E85" s="320"/>
      <c r="F85" s="320"/>
      <c r="G85" s="311"/>
      <c r="H85" s="369" t="s">
        <v>124</v>
      </c>
      <c r="I85" s="322"/>
      <c r="J85" s="353"/>
      <c r="K85" s="354"/>
      <c r="L85" s="355"/>
      <c r="M85" s="308"/>
      <c r="N85" s="458" t="s">
        <v>202</v>
      </c>
      <c r="O85" s="298">
        <v>27.234999999999999</v>
      </c>
      <c r="P85" s="298">
        <f>P84*O85/O84</f>
        <v>0.90783333333333327</v>
      </c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</row>
    <row r="86" spans="1:32" ht="24" customHeight="1">
      <c r="A86" s="351"/>
      <c r="B86" s="352"/>
      <c r="C86" s="320"/>
      <c r="D86" s="320"/>
      <c r="E86" s="320"/>
      <c r="F86" s="320"/>
      <c r="G86" s="320"/>
      <c r="H86" s="374" t="s">
        <v>125</v>
      </c>
      <c r="I86" s="322"/>
      <c r="J86" s="353"/>
      <c r="K86" s="354"/>
      <c r="L86" s="355"/>
      <c r="M86" s="308"/>
      <c r="N86" s="487" t="s">
        <v>237</v>
      </c>
      <c r="O86" s="356"/>
      <c r="P86" s="356"/>
      <c r="Q86" s="356"/>
      <c r="R86" s="356"/>
      <c r="S86" s="356"/>
      <c r="T86" s="356"/>
      <c r="U86" s="356"/>
      <c r="V86" s="356"/>
      <c r="W86" s="356"/>
      <c r="X86" s="356"/>
      <c r="Y86" s="356"/>
      <c r="Z86" s="356"/>
      <c r="AA86" s="356"/>
      <c r="AB86" s="356"/>
      <c r="AC86" s="356"/>
      <c r="AD86" s="356"/>
      <c r="AE86" s="356"/>
      <c r="AF86" s="356"/>
    </row>
    <row r="87" spans="1:32" ht="24" customHeight="1">
      <c r="A87" s="351"/>
      <c r="B87" s="352"/>
      <c r="C87" s="320"/>
      <c r="D87" s="320"/>
      <c r="E87" s="320"/>
      <c r="F87" s="320"/>
      <c r="G87" s="320"/>
      <c r="H87" s="369" t="s">
        <v>126</v>
      </c>
      <c r="I87" s="322"/>
      <c r="J87" s="353"/>
      <c r="K87" s="354"/>
      <c r="L87" s="355"/>
      <c r="M87" s="308"/>
      <c r="O87" s="356"/>
      <c r="P87" s="356"/>
      <c r="Q87" s="356"/>
      <c r="R87" s="356"/>
      <c r="S87" s="356"/>
      <c r="T87" s="356"/>
      <c r="U87" s="356"/>
      <c r="V87" s="356"/>
      <c r="W87" s="356"/>
      <c r="X87" s="356"/>
      <c r="Y87" s="356"/>
      <c r="Z87" s="356"/>
      <c r="AA87" s="356"/>
      <c r="AB87" s="356"/>
      <c r="AC87" s="356"/>
      <c r="AD87" s="356"/>
      <c r="AE87" s="356"/>
      <c r="AF87" s="356"/>
    </row>
    <row r="88" spans="1:32" ht="24" customHeight="1">
      <c r="A88" s="351"/>
      <c r="B88" s="352"/>
      <c r="C88" s="320"/>
      <c r="D88" s="320"/>
      <c r="E88" s="320"/>
      <c r="F88" s="320"/>
      <c r="G88" s="320"/>
      <c r="H88" s="369" t="s">
        <v>127</v>
      </c>
      <c r="I88" s="322"/>
      <c r="J88" s="353"/>
      <c r="K88" s="354"/>
      <c r="L88" s="355"/>
      <c r="M88" s="308"/>
      <c r="O88" s="356"/>
      <c r="P88" s="356"/>
      <c r="Q88" s="356"/>
      <c r="R88" s="356"/>
      <c r="S88" s="356"/>
      <c r="T88" s="356"/>
      <c r="U88" s="356"/>
      <c r="V88" s="356"/>
      <c r="W88" s="356"/>
      <c r="X88" s="356"/>
      <c r="Y88" s="356"/>
      <c r="Z88" s="356"/>
      <c r="AA88" s="356"/>
      <c r="AB88" s="356"/>
      <c r="AC88" s="356"/>
      <c r="AD88" s="356"/>
      <c r="AE88" s="356"/>
      <c r="AF88" s="356"/>
    </row>
    <row r="89" spans="1:32" ht="24" customHeight="1">
      <c r="A89" s="351"/>
      <c r="B89" s="352"/>
      <c r="C89" s="320"/>
      <c r="D89" s="320"/>
      <c r="E89" s="320"/>
      <c r="F89" s="320"/>
      <c r="G89" s="320"/>
      <c r="H89" s="369"/>
      <c r="I89" s="323" t="s">
        <v>114</v>
      </c>
      <c r="J89" s="493">
        <v>97.234999999999999</v>
      </c>
      <c r="K89" s="382" t="s">
        <v>51</v>
      </c>
      <c r="L89" s="355"/>
      <c r="M89" s="308"/>
      <c r="O89" s="356"/>
      <c r="P89" s="356"/>
      <c r="Q89" s="356"/>
      <c r="R89" s="356"/>
      <c r="S89" s="356"/>
      <c r="T89" s="356"/>
      <c r="U89" s="356"/>
      <c r="V89" s="356"/>
      <c r="W89" s="356"/>
      <c r="X89" s="356"/>
      <c r="Y89" s="356"/>
      <c r="Z89" s="356"/>
      <c r="AA89" s="356"/>
      <c r="AB89" s="356"/>
      <c r="AC89" s="356"/>
      <c r="AD89" s="356"/>
      <c r="AE89" s="356"/>
      <c r="AF89" s="356"/>
    </row>
    <row r="90" spans="1:32" ht="24" customHeight="1">
      <c r="A90" s="358"/>
      <c r="B90" s="359"/>
      <c r="C90" s="310"/>
      <c r="D90" s="310"/>
      <c r="E90" s="310"/>
      <c r="F90" s="310"/>
      <c r="G90" s="310"/>
      <c r="H90" s="330"/>
      <c r="I90" s="376"/>
      <c r="J90" s="376"/>
      <c r="K90" s="377"/>
      <c r="L90" s="360"/>
      <c r="M90" s="299"/>
      <c r="O90" s="356"/>
      <c r="P90" s="356"/>
      <c r="Q90" s="356"/>
      <c r="R90" s="356"/>
      <c r="S90" s="356"/>
      <c r="T90" s="356"/>
      <c r="U90" s="356"/>
      <c r="V90" s="357"/>
      <c r="W90" s="356"/>
      <c r="X90" s="356"/>
      <c r="Y90" s="356"/>
      <c r="Z90" s="356"/>
      <c r="AA90" s="356"/>
      <c r="AB90" s="356"/>
      <c r="AC90" s="356"/>
      <c r="AD90" s="356"/>
      <c r="AE90" s="356"/>
      <c r="AF90" s="356"/>
    </row>
    <row r="91" spans="1:32" ht="24" customHeight="1">
      <c r="A91" s="302" t="s">
        <v>115</v>
      </c>
      <c r="B91" s="407">
        <v>4.17</v>
      </c>
      <c r="C91" s="361">
        <v>0.8</v>
      </c>
      <c r="D91" s="361">
        <v>0.85</v>
      </c>
      <c r="E91" s="361">
        <v>0.9</v>
      </c>
      <c r="F91" s="361">
        <v>0.95</v>
      </c>
      <c r="G91" s="361">
        <v>1</v>
      </c>
      <c r="H91" s="371" t="s">
        <v>157</v>
      </c>
      <c r="I91" s="372"/>
      <c r="J91" s="372"/>
      <c r="K91" s="373"/>
      <c r="L91" s="304">
        <f>4+O94</f>
        <v>4.9779999999999998</v>
      </c>
      <c r="M91" s="305">
        <f>IF(L91=0,"-",ROUND(L91*B91/B$98,4))</f>
        <v>0.20760000000000001</v>
      </c>
      <c r="N91" s="429" t="s">
        <v>214</v>
      </c>
      <c r="O91" s="356"/>
      <c r="P91" s="356"/>
      <c r="Q91" s="523"/>
      <c r="R91" s="356"/>
      <c r="S91" s="356"/>
      <c r="T91" s="356"/>
      <c r="U91" s="356"/>
      <c r="V91" s="357"/>
      <c r="W91" s="356"/>
      <c r="X91" s="356"/>
      <c r="Y91" s="356"/>
      <c r="Z91" s="356"/>
      <c r="AA91" s="356"/>
      <c r="AB91" s="356"/>
      <c r="AC91" s="356"/>
      <c r="AD91" s="356"/>
      <c r="AE91" s="356"/>
      <c r="AF91" s="356"/>
    </row>
    <row r="92" spans="1:32" ht="24" customHeight="1">
      <c r="A92" s="309" t="s">
        <v>116</v>
      </c>
      <c r="B92" s="352"/>
      <c r="C92" s="348"/>
      <c r="D92" s="348"/>
      <c r="E92" s="348"/>
      <c r="F92" s="348"/>
      <c r="G92" s="348"/>
      <c r="H92" s="369" t="s">
        <v>158</v>
      </c>
      <c r="I92" s="374"/>
      <c r="J92" s="374"/>
      <c r="K92" s="370"/>
      <c r="L92" s="362"/>
      <c r="M92" s="308"/>
      <c r="N92" s="452" t="s">
        <v>203</v>
      </c>
      <c r="Q92" s="523"/>
    </row>
    <row r="93" spans="1:32" ht="24" customHeight="1">
      <c r="A93" s="309" t="s">
        <v>193</v>
      </c>
      <c r="B93" s="352"/>
      <c r="C93" s="320"/>
      <c r="D93" s="320"/>
      <c r="E93" s="320"/>
      <c r="F93" s="320"/>
      <c r="G93" s="320"/>
      <c r="H93" s="369" t="s">
        <v>197</v>
      </c>
      <c r="I93" s="374"/>
      <c r="J93" s="374"/>
      <c r="K93" s="370"/>
      <c r="L93" s="362"/>
      <c r="M93" s="308"/>
      <c r="N93" s="292">
        <v>5</v>
      </c>
      <c r="O93" s="292">
        <v>1</v>
      </c>
      <c r="Q93" s="523"/>
    </row>
    <row r="94" spans="1:32" ht="24" customHeight="1">
      <c r="A94" s="309"/>
      <c r="B94" s="352"/>
      <c r="C94" s="320"/>
      <c r="D94" s="320"/>
      <c r="E94" s="320"/>
      <c r="F94" s="320"/>
      <c r="G94" s="320"/>
      <c r="H94" s="369" t="s">
        <v>120</v>
      </c>
      <c r="I94" s="374"/>
      <c r="J94" s="374"/>
      <c r="K94" s="370"/>
      <c r="L94" s="362"/>
      <c r="M94" s="308"/>
      <c r="N94" s="292">
        <v>4.8899999999999997</v>
      </c>
      <c r="O94" s="292">
        <f>O93*N94/N93</f>
        <v>0.97799999999999998</v>
      </c>
      <c r="Q94" s="523"/>
    </row>
    <row r="95" spans="1:32" ht="24" customHeight="1">
      <c r="A95" s="309"/>
      <c r="B95" s="352"/>
      <c r="C95" s="320"/>
      <c r="D95" s="320"/>
      <c r="E95" s="320"/>
      <c r="F95" s="320"/>
      <c r="G95" s="320"/>
      <c r="H95" s="369" t="s">
        <v>194</v>
      </c>
      <c r="I95" s="374"/>
      <c r="J95" s="374"/>
      <c r="K95" s="370"/>
      <c r="L95" s="362"/>
      <c r="M95" s="308"/>
      <c r="Q95" s="523"/>
    </row>
    <row r="96" spans="1:32" ht="24" customHeight="1">
      <c r="A96" s="309"/>
      <c r="B96" s="352"/>
      <c r="C96" s="320"/>
      <c r="D96" s="320"/>
      <c r="E96" s="320"/>
      <c r="F96" s="320"/>
      <c r="G96" s="344"/>
      <c r="H96" s="369" t="s">
        <v>195</v>
      </c>
      <c r="I96" s="345"/>
      <c r="J96" s="408">
        <v>99.89</v>
      </c>
      <c r="K96" s="414" t="s">
        <v>51</v>
      </c>
      <c r="L96" s="413"/>
      <c r="M96" s="308"/>
      <c r="Q96" s="523"/>
    </row>
    <row r="97" spans="1:17" ht="24" customHeight="1">
      <c r="A97" s="358"/>
      <c r="B97" s="415"/>
      <c r="C97" s="412"/>
      <c r="D97" s="412"/>
      <c r="E97" s="412"/>
      <c r="F97" s="412"/>
      <c r="G97" s="329"/>
      <c r="H97" s="411"/>
      <c r="I97" s="418"/>
      <c r="J97" s="419"/>
      <c r="K97" s="417"/>
      <c r="L97" s="420"/>
      <c r="M97" s="308"/>
      <c r="Q97" s="523"/>
    </row>
    <row r="98" spans="1:17" ht="26.25">
      <c r="A98" s="363"/>
      <c r="B98" s="409">
        <f>ROUND(SUM(B6:B97),1)</f>
        <v>100</v>
      </c>
      <c r="C98" s="364"/>
      <c r="D98" s="364"/>
      <c r="E98" s="364"/>
      <c r="F98" s="364"/>
      <c r="G98" s="365"/>
      <c r="H98" s="364"/>
      <c r="I98" s="364"/>
      <c r="J98" s="364"/>
      <c r="K98" s="364"/>
      <c r="L98" s="366" t="s">
        <v>139</v>
      </c>
      <c r="M98" s="410">
        <f>(SUM(M6:M97))</f>
        <v>1.8504000000000003</v>
      </c>
      <c r="Q98" s="523"/>
    </row>
    <row r="99" spans="1:17">
      <c r="Q99" s="523"/>
    </row>
    <row r="100" spans="1:17">
      <c r="Q100" s="523"/>
    </row>
    <row r="101" spans="1:17">
      <c r="Q101" s="523"/>
    </row>
    <row r="102" spans="1:17">
      <c r="Q102" s="523"/>
    </row>
    <row r="103" spans="1:17">
      <c r="Q103" s="523"/>
    </row>
    <row r="104" spans="1:17">
      <c r="Q104" s="445"/>
    </row>
  </sheetData>
  <mergeCells count="32">
    <mergeCell ref="T31:U31"/>
    <mergeCell ref="H42:K42"/>
    <mergeCell ref="H18:I18"/>
    <mergeCell ref="H19:I19"/>
    <mergeCell ref="H20:I20"/>
    <mergeCell ref="H22:K22"/>
    <mergeCell ref="H27:K27"/>
    <mergeCell ref="H37:K37"/>
    <mergeCell ref="H11:I11"/>
    <mergeCell ref="H15:I15"/>
    <mergeCell ref="H21:K21"/>
    <mergeCell ref="H23:K23"/>
    <mergeCell ref="H24:K24"/>
    <mergeCell ref="H12:I13"/>
    <mergeCell ref="J12:K12"/>
    <mergeCell ref="H16:I16"/>
    <mergeCell ref="H77:K77"/>
    <mergeCell ref="H83:K83"/>
    <mergeCell ref="H6:I7"/>
    <mergeCell ref="J6:K6"/>
    <mergeCell ref="A1:M1"/>
    <mergeCell ref="A2:M2"/>
    <mergeCell ref="C4:G4"/>
    <mergeCell ref="H4:K5"/>
    <mergeCell ref="L4:L5"/>
    <mergeCell ref="H9:I9"/>
    <mergeCell ref="H35:K35"/>
    <mergeCell ref="H28:K28"/>
    <mergeCell ref="H29:K29"/>
    <mergeCell ref="H30:K30"/>
    <mergeCell ref="H25:K25"/>
    <mergeCell ref="H10:I10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3" manualBreakCount="3">
    <brk id="27" max="12" man="1"/>
    <brk id="53" max="12" man="1"/>
    <brk id="77" max="12" man="1"/>
  </rowBreaks>
  <ignoredErrors>
    <ignoredError sqref="J33 J40 J46 J71 L84 L91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82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59" style="292" bestFit="1" customWidth="1"/>
    <col min="16" max="16" width="11.28515625" style="292" bestFit="1" customWidth="1"/>
    <col min="17" max="17" width="15" style="292" bestFit="1" customWidth="1"/>
    <col min="18" max="16384" width="9.140625" style="292"/>
  </cols>
  <sheetData>
    <row r="1" spans="1:14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14" ht="24" customHeight="1">
      <c r="A2" s="710" t="s">
        <v>311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14" ht="24" customHeight="1">
      <c r="A3" s="293" t="s">
        <v>312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14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</row>
    <row r="5" spans="1:14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719"/>
      <c r="M5" s="301" t="s">
        <v>9</v>
      </c>
    </row>
    <row r="6" spans="1:14" ht="24" customHeight="1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726" t="s">
        <v>141</v>
      </c>
      <c r="I6" s="722"/>
      <c r="J6" s="722"/>
      <c r="K6" s="723"/>
      <c r="L6" s="304">
        <v>1</v>
      </c>
      <c r="M6" s="305">
        <f>IF(L6=0,"-",ROUND(L6*B6/B$82,4))</f>
        <v>5.5599999999999997E-2</v>
      </c>
    </row>
    <row r="7" spans="1:14" ht="24" customHeight="1">
      <c r="A7" s="309" t="s">
        <v>44</v>
      </c>
      <c r="B7" s="399"/>
      <c r="C7" s="320"/>
      <c r="D7" s="320"/>
      <c r="E7" s="320"/>
      <c r="F7" s="320"/>
      <c r="G7" s="320"/>
      <c r="H7" s="720" t="s">
        <v>142</v>
      </c>
      <c r="I7" s="724"/>
      <c r="J7" s="724"/>
      <c r="K7" s="721"/>
      <c r="L7" s="307"/>
      <c r="M7" s="308"/>
    </row>
    <row r="8" spans="1:14" ht="24" customHeight="1">
      <c r="A8" s="309"/>
      <c r="B8" s="399"/>
      <c r="C8" s="320"/>
      <c r="D8" s="320"/>
      <c r="E8" s="320"/>
      <c r="F8" s="320"/>
      <c r="G8" s="320"/>
      <c r="H8" s="720" t="s">
        <v>143</v>
      </c>
      <c r="I8" s="724"/>
      <c r="J8" s="724"/>
      <c r="K8" s="721"/>
      <c r="L8" s="307"/>
      <c r="M8" s="308"/>
    </row>
    <row r="9" spans="1:14" ht="24" customHeight="1">
      <c r="A9" s="309"/>
      <c r="B9" s="399"/>
      <c r="C9" s="320"/>
      <c r="D9" s="320"/>
      <c r="E9" s="320"/>
      <c r="F9" s="320"/>
      <c r="G9" s="320"/>
      <c r="H9" s="720" t="s">
        <v>144</v>
      </c>
      <c r="I9" s="724"/>
      <c r="J9" s="724"/>
      <c r="K9" s="721"/>
      <c r="L9" s="307"/>
      <c r="M9" s="308"/>
    </row>
    <row r="10" spans="1:14" ht="24" customHeight="1">
      <c r="A10" s="309"/>
      <c r="B10" s="399"/>
      <c r="C10" s="320"/>
      <c r="D10" s="320"/>
      <c r="E10" s="320"/>
      <c r="F10" s="320"/>
      <c r="G10" s="320"/>
      <c r="H10" s="720" t="s">
        <v>170</v>
      </c>
      <c r="I10" s="724"/>
      <c r="J10" s="724"/>
      <c r="K10" s="721"/>
      <c r="L10" s="307"/>
      <c r="M10" s="308"/>
    </row>
    <row r="11" spans="1:14" ht="24" customHeight="1">
      <c r="A11" s="309"/>
      <c r="B11" s="399"/>
      <c r="C11" s="320"/>
      <c r="D11" s="320"/>
      <c r="E11" s="320"/>
      <c r="F11" s="320"/>
      <c r="G11" s="320"/>
      <c r="I11" s="323" t="s">
        <v>54</v>
      </c>
      <c r="J11" s="324" t="s">
        <v>11</v>
      </c>
      <c r="K11" s="532" t="s">
        <v>51</v>
      </c>
      <c r="L11" s="307"/>
      <c r="M11" s="308"/>
    </row>
    <row r="12" spans="1:14" ht="24" customHeight="1">
      <c r="A12" s="325"/>
      <c r="B12" s="402"/>
      <c r="C12" s="310"/>
      <c r="D12" s="310"/>
      <c r="E12" s="310"/>
      <c r="F12" s="310"/>
      <c r="G12" s="310"/>
      <c r="H12" s="705" t="s">
        <v>212</v>
      </c>
      <c r="I12" s="706"/>
      <c r="J12" s="706"/>
      <c r="K12" s="707"/>
      <c r="L12" s="326"/>
      <c r="M12" s="299"/>
    </row>
    <row r="13" spans="1:14" ht="24" customHeight="1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722" t="s">
        <v>171</v>
      </c>
      <c r="I13" s="722"/>
      <c r="J13" s="722"/>
      <c r="K13" s="723"/>
      <c r="L13" s="304">
        <v>1</v>
      </c>
      <c r="M13" s="305">
        <f>IF(L13=0,"-",ROUND(L13*B13/B$82,4))</f>
        <v>0.16669999999999999</v>
      </c>
      <c r="N13" s="429" t="s">
        <v>199</v>
      </c>
    </row>
    <row r="14" spans="1:14" ht="24" customHeight="1">
      <c r="A14" s="309" t="s">
        <v>21</v>
      </c>
      <c r="B14" s="352"/>
      <c r="C14" s="320"/>
      <c r="D14" s="320"/>
      <c r="E14" s="320"/>
      <c r="F14" s="320"/>
      <c r="G14" s="320"/>
      <c r="H14" s="720" t="s">
        <v>83</v>
      </c>
      <c r="I14" s="724"/>
      <c r="J14" s="724"/>
      <c r="K14" s="721"/>
      <c r="L14" s="307"/>
      <c r="M14" s="308"/>
    </row>
    <row r="15" spans="1:14" ht="24" customHeight="1">
      <c r="A15" s="309"/>
      <c r="B15" s="352"/>
      <c r="C15" s="320"/>
      <c r="D15" s="320"/>
      <c r="E15" s="320"/>
      <c r="F15" s="320"/>
      <c r="G15" s="320"/>
      <c r="H15" s="720" t="s">
        <v>172</v>
      </c>
      <c r="I15" s="724"/>
      <c r="J15" s="724"/>
      <c r="K15" s="721"/>
      <c r="L15" s="307"/>
      <c r="M15" s="308"/>
    </row>
    <row r="16" spans="1:14" ht="24" customHeight="1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32"/>
      <c r="L16" s="307"/>
      <c r="M16" s="308"/>
    </row>
    <row r="17" spans="1:18" ht="24" customHeight="1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32"/>
      <c r="L17" s="307"/>
      <c r="M17" s="308"/>
    </row>
    <row r="18" spans="1:18" ht="24" customHeight="1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328">
        <v>46.39</v>
      </c>
      <c r="K18" s="532" t="s">
        <v>51</v>
      </c>
      <c r="L18" s="307"/>
      <c r="M18" s="308"/>
    </row>
    <row r="19" spans="1:18" ht="24" customHeight="1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</row>
    <row r="20" spans="1:18" ht="24" customHeight="1">
      <c r="A20" s="302" t="s">
        <v>175</v>
      </c>
      <c r="B20" s="403">
        <v>12</v>
      </c>
      <c r="C20" s="303">
        <v>0.6</v>
      </c>
      <c r="D20" s="303">
        <v>0.7</v>
      </c>
      <c r="E20" s="303">
        <v>0.8</v>
      </c>
      <c r="F20" s="303">
        <v>0.9</v>
      </c>
      <c r="G20" s="303">
        <v>1</v>
      </c>
      <c r="H20" s="722" t="s">
        <v>176</v>
      </c>
      <c r="I20" s="722"/>
      <c r="J20" s="722"/>
      <c r="K20" s="723"/>
      <c r="L20" s="304">
        <v>1</v>
      </c>
      <c r="M20" s="305">
        <f>IF(L20=0,"-",ROUND(L20*B20/B$82,4))</f>
        <v>0.16669999999999999</v>
      </c>
      <c r="O20" s="292" t="s">
        <v>313</v>
      </c>
    </row>
    <row r="21" spans="1:18" ht="24" customHeight="1">
      <c r="A21" s="309" t="s">
        <v>177</v>
      </c>
      <c r="B21" s="352"/>
      <c r="C21" s="320"/>
      <c r="D21" s="320"/>
      <c r="E21" s="320"/>
      <c r="F21" s="320"/>
      <c r="G21" s="320"/>
      <c r="H21" s="405" t="s">
        <v>178</v>
      </c>
      <c r="L21" s="307"/>
      <c r="M21" s="308"/>
      <c r="N21" s="292">
        <v>1</v>
      </c>
      <c r="O21" s="292" t="s">
        <v>204</v>
      </c>
      <c r="Q21" s="541">
        <v>32849900</v>
      </c>
      <c r="R21" s="292">
        <v>0</v>
      </c>
    </row>
    <row r="22" spans="1:18" ht="24" customHeight="1">
      <c r="A22" s="309"/>
      <c r="B22" s="352"/>
      <c r="C22" s="320"/>
      <c r="D22" s="320"/>
      <c r="E22" s="320"/>
      <c r="F22" s="320"/>
      <c r="G22" s="320"/>
      <c r="H22" s="720" t="s">
        <v>83</v>
      </c>
      <c r="I22" s="724"/>
      <c r="J22" s="724"/>
      <c r="K22" s="721"/>
      <c r="L22" s="307"/>
      <c r="M22" s="308"/>
      <c r="N22" s="292">
        <v>2</v>
      </c>
      <c r="O22" s="292" t="s">
        <v>205</v>
      </c>
      <c r="Q22" s="541">
        <v>88159600</v>
      </c>
      <c r="R22" s="292">
        <v>9.1300000000000008</v>
      </c>
    </row>
    <row r="23" spans="1:18" ht="24" customHeight="1">
      <c r="A23" s="309"/>
      <c r="B23" s="352"/>
      <c r="C23" s="320"/>
      <c r="D23" s="320"/>
      <c r="E23" s="320"/>
      <c r="F23" s="320"/>
      <c r="G23" s="320"/>
      <c r="H23" s="531" t="s">
        <v>172</v>
      </c>
      <c r="I23" s="535"/>
      <c r="J23" s="535"/>
      <c r="K23" s="532"/>
      <c r="L23" s="307"/>
      <c r="M23" s="308"/>
      <c r="N23" s="292">
        <v>3</v>
      </c>
      <c r="O23" s="292" t="s">
        <v>206</v>
      </c>
      <c r="Q23" s="541">
        <v>39000000</v>
      </c>
      <c r="R23" s="292">
        <v>27.76</v>
      </c>
    </row>
    <row r="24" spans="1:18" ht="24" customHeight="1">
      <c r="A24" s="309"/>
      <c r="B24" s="352"/>
      <c r="C24" s="320"/>
      <c r="D24" s="320"/>
      <c r="E24" s="320"/>
      <c r="F24" s="320"/>
      <c r="G24" s="320"/>
      <c r="H24" s="380" t="s">
        <v>173</v>
      </c>
      <c r="I24" s="323"/>
      <c r="J24" s="328"/>
      <c r="K24" s="532"/>
      <c r="L24" s="307"/>
      <c r="M24" s="308"/>
      <c r="N24" s="292">
        <v>4</v>
      </c>
      <c r="O24" s="292" t="s">
        <v>207</v>
      </c>
      <c r="Q24" s="541">
        <v>23151000</v>
      </c>
      <c r="R24" s="292">
        <v>45.667000000000002</v>
      </c>
    </row>
    <row r="25" spans="1:18" ht="24" customHeight="1">
      <c r="A25" s="309"/>
      <c r="B25" s="352"/>
      <c r="C25" s="320"/>
      <c r="D25" s="320"/>
      <c r="E25" s="320"/>
      <c r="F25" s="320"/>
      <c r="G25" s="320"/>
      <c r="H25" s="380"/>
      <c r="I25" s="323" t="s">
        <v>174</v>
      </c>
      <c r="J25" s="328">
        <v>57.76</v>
      </c>
      <c r="K25" s="532" t="s">
        <v>51</v>
      </c>
      <c r="L25" s="307"/>
      <c r="M25" s="308"/>
      <c r="N25" s="292">
        <v>5</v>
      </c>
      <c r="O25" s="292" t="s">
        <v>208</v>
      </c>
      <c r="Q25" s="541">
        <v>188867200</v>
      </c>
      <c r="R25" s="292">
        <v>0</v>
      </c>
    </row>
    <row r="26" spans="1:18" ht="24" customHeight="1">
      <c r="A26" s="325"/>
      <c r="B26" s="359"/>
      <c r="C26" s="310"/>
      <c r="D26" s="310"/>
      <c r="E26" s="310"/>
      <c r="F26" s="310"/>
      <c r="G26" s="310"/>
      <c r="H26" s="329"/>
      <c r="I26" s="330"/>
      <c r="J26" s="404"/>
      <c r="K26" s="331"/>
      <c r="L26" s="326"/>
      <c r="M26" s="299"/>
      <c r="N26" s="292">
        <v>6</v>
      </c>
      <c r="O26" s="292" t="s">
        <v>314</v>
      </c>
      <c r="Q26" s="541">
        <v>150250900</v>
      </c>
      <c r="R26" s="292">
        <v>46.1</v>
      </c>
    </row>
    <row r="27" spans="1:18" ht="24" customHeight="1">
      <c r="A27" s="302" t="s">
        <v>179</v>
      </c>
      <c r="B27" s="403">
        <v>4</v>
      </c>
      <c r="C27" s="332">
        <v>0.5</v>
      </c>
      <c r="D27" s="332">
        <v>0.75</v>
      </c>
      <c r="E27" s="332">
        <v>1</v>
      </c>
      <c r="F27" s="332">
        <v>1</v>
      </c>
      <c r="G27" s="332">
        <v>1</v>
      </c>
      <c r="H27" s="726" t="s">
        <v>57</v>
      </c>
      <c r="I27" s="722"/>
      <c r="J27" s="722"/>
      <c r="K27" s="723"/>
      <c r="L27" s="304">
        <v>1.8388</v>
      </c>
      <c r="M27" s="305">
        <f>IF(L27=0,"-",ROUND(L27*B27/B$82,4))</f>
        <v>0.1022</v>
      </c>
      <c r="N27" s="292">
        <v>7</v>
      </c>
      <c r="O27" s="292" t="s">
        <v>209</v>
      </c>
      <c r="Q27" s="541">
        <v>91950000</v>
      </c>
      <c r="R27" s="292">
        <v>7.1</v>
      </c>
    </row>
    <row r="28" spans="1:18" ht="24" customHeight="1">
      <c r="A28" s="309" t="s">
        <v>23</v>
      </c>
      <c r="B28" s="352"/>
      <c r="C28" s="320"/>
      <c r="D28" s="320"/>
      <c r="E28" s="320"/>
      <c r="F28" s="335" t="s">
        <v>70</v>
      </c>
      <c r="G28" s="335" t="s">
        <v>70</v>
      </c>
      <c r="H28" s="531" t="s">
        <v>58</v>
      </c>
      <c r="I28" s="535"/>
      <c r="J28" s="535"/>
      <c r="K28" s="532"/>
      <c r="L28" s="307"/>
      <c r="M28" s="308"/>
      <c r="N28" s="429" t="s">
        <v>199</v>
      </c>
      <c r="P28" s="292" t="s">
        <v>210</v>
      </c>
      <c r="Q28" s="541">
        <f>SUM(Q21:Q27)</f>
        <v>614228600</v>
      </c>
    </row>
    <row r="29" spans="1:18" ht="24" customHeight="1">
      <c r="A29" s="309" t="s">
        <v>24</v>
      </c>
      <c r="B29" s="352"/>
      <c r="C29" s="320"/>
      <c r="D29" s="320"/>
      <c r="E29" s="320"/>
      <c r="F29" s="335" t="s">
        <v>137</v>
      </c>
      <c r="G29" s="335" t="s">
        <v>138</v>
      </c>
      <c r="H29" s="531" t="s">
        <v>147</v>
      </c>
      <c r="I29" s="535"/>
      <c r="J29" s="535"/>
      <c r="K29" s="532"/>
      <c r="L29" s="307"/>
      <c r="M29" s="308"/>
      <c r="N29" s="292">
        <v>25</v>
      </c>
      <c r="O29" s="292">
        <v>1</v>
      </c>
      <c r="Q29" s="292" t="s">
        <v>51</v>
      </c>
      <c r="R29" s="292">
        <f>((R21*Q21)+(R22*Q22)+(R23*Q23)+(R24*Q24)+(R25*Q25)+(R26*Q26)+(R27*Q27))/Q28</f>
        <v>17.133987826356506</v>
      </c>
    </row>
    <row r="30" spans="1:18" ht="24" customHeight="1">
      <c r="A30" s="309"/>
      <c r="B30" s="352"/>
      <c r="C30" s="320"/>
      <c r="D30" s="320"/>
      <c r="E30" s="320"/>
      <c r="F30" s="320"/>
      <c r="G30" s="320"/>
      <c r="H30" s="531" t="s">
        <v>180</v>
      </c>
      <c r="I30" s="535"/>
      <c r="J30" s="535"/>
      <c r="K30" s="532"/>
      <c r="L30" s="307"/>
      <c r="M30" s="308"/>
      <c r="N30" s="292">
        <v>20.97</v>
      </c>
      <c r="O30" s="292">
        <f>O29*N30/N29</f>
        <v>0.83879999999999999</v>
      </c>
    </row>
    <row r="31" spans="1:18" ht="24" customHeight="1">
      <c r="A31" s="309"/>
      <c r="B31" s="352"/>
      <c r="C31" s="320"/>
      <c r="D31" s="320"/>
      <c r="E31" s="320"/>
      <c r="F31" s="320"/>
      <c r="G31" s="311"/>
      <c r="H31" s="531"/>
      <c r="I31" s="323" t="s">
        <v>56</v>
      </c>
      <c r="J31" s="324">
        <v>70.97</v>
      </c>
      <c r="K31" s="532" t="s">
        <v>51</v>
      </c>
      <c r="L31" s="307"/>
      <c r="M31" s="308"/>
    </row>
    <row r="32" spans="1:18" ht="24" customHeight="1">
      <c r="A32" s="309"/>
      <c r="B32" s="352"/>
      <c r="C32" s="320"/>
      <c r="D32" s="320"/>
      <c r="E32" s="320"/>
      <c r="F32" s="320"/>
      <c r="G32" s="320"/>
      <c r="H32" s="333"/>
      <c r="I32" s="306"/>
      <c r="J32" s="306"/>
      <c r="K32" s="312"/>
      <c r="L32" s="307"/>
      <c r="M32" s="308"/>
    </row>
    <row r="33" spans="1:16" ht="24" customHeight="1">
      <c r="A33" s="302" t="s">
        <v>181</v>
      </c>
      <c r="B33" s="403">
        <v>4</v>
      </c>
      <c r="C33" s="332">
        <v>0.96</v>
      </c>
      <c r="D33" s="332">
        <v>0.97</v>
      </c>
      <c r="E33" s="332">
        <v>0.98</v>
      </c>
      <c r="F33" s="332">
        <v>0.99</v>
      </c>
      <c r="G33" s="332">
        <v>1</v>
      </c>
      <c r="H33" s="536" t="s">
        <v>148</v>
      </c>
      <c r="I33" s="533"/>
      <c r="J33" s="533"/>
      <c r="K33" s="534"/>
      <c r="L33" s="304">
        <v>1</v>
      </c>
      <c r="M33" s="305">
        <f>IF(L33=0,"-",ROUND(L33*B33/B$82,4))</f>
        <v>5.5599999999999997E-2</v>
      </c>
      <c r="N33" s="429" t="s">
        <v>200</v>
      </c>
    </row>
    <row r="34" spans="1:16" ht="24" customHeight="1">
      <c r="A34" s="309" t="s">
        <v>26</v>
      </c>
      <c r="B34" s="352"/>
      <c r="C34" s="320"/>
      <c r="D34" s="320"/>
      <c r="E34" s="320"/>
      <c r="F34" s="320"/>
      <c r="G34" s="320"/>
      <c r="H34" s="380" t="s">
        <v>149</v>
      </c>
      <c r="I34" s="381"/>
      <c r="J34" s="381"/>
      <c r="K34" s="382"/>
      <c r="L34" s="307"/>
      <c r="M34" s="308"/>
    </row>
    <row r="35" spans="1:16" ht="24" customHeight="1">
      <c r="A35" s="309"/>
      <c r="B35" s="352"/>
      <c r="C35" s="320"/>
      <c r="D35" s="320"/>
      <c r="E35" s="320"/>
      <c r="F35" s="320"/>
      <c r="G35" s="320"/>
      <c r="H35" s="380" t="s">
        <v>75</v>
      </c>
      <c r="I35" s="381"/>
      <c r="J35" s="381"/>
      <c r="K35" s="382"/>
      <c r="L35" s="307"/>
      <c r="M35" s="308"/>
    </row>
    <row r="36" spans="1:16" ht="24" customHeight="1">
      <c r="A36" s="309"/>
      <c r="B36" s="352"/>
      <c r="C36" s="320"/>
      <c r="D36" s="320"/>
      <c r="E36" s="320"/>
      <c r="F36" s="320"/>
      <c r="G36" s="320"/>
      <c r="H36" s="380" t="s">
        <v>182</v>
      </c>
      <c r="I36" s="383"/>
      <c r="J36" s="383"/>
      <c r="K36" s="384"/>
      <c r="L36" s="307"/>
      <c r="M36" s="308"/>
      <c r="O36" s="292" t="s">
        <v>315</v>
      </c>
      <c r="P36" s="292">
        <v>274947166</v>
      </c>
    </row>
    <row r="37" spans="1:16" ht="24" customHeight="1">
      <c r="A37" s="309"/>
      <c r="B37" s="352"/>
      <c r="C37" s="320"/>
      <c r="D37" s="320"/>
      <c r="E37" s="320"/>
      <c r="F37" s="320"/>
      <c r="G37" s="311"/>
      <c r="H37" s="531"/>
      <c r="I37" s="323" t="s">
        <v>56</v>
      </c>
      <c r="J37" s="324">
        <v>95.2</v>
      </c>
      <c r="K37" s="532" t="s">
        <v>51</v>
      </c>
      <c r="L37" s="307"/>
      <c r="M37" s="308"/>
      <c r="O37" s="292" t="s">
        <v>216</v>
      </c>
      <c r="P37" s="292">
        <v>229516556</v>
      </c>
    </row>
    <row r="38" spans="1:16" ht="24" customHeight="1">
      <c r="A38" s="325"/>
      <c r="B38" s="359"/>
      <c r="C38" s="310"/>
      <c r="D38" s="310"/>
      <c r="E38" s="310"/>
      <c r="F38" s="310"/>
      <c r="G38" s="310"/>
      <c r="H38" s="329"/>
      <c r="I38" s="427"/>
      <c r="J38" s="427"/>
      <c r="K38" s="428"/>
      <c r="L38" s="326"/>
      <c r="M38" s="299"/>
      <c r="O38" s="498" t="s">
        <v>174</v>
      </c>
      <c r="P38" s="292">
        <f>P37*100/P36</f>
        <v>83.476603646825737</v>
      </c>
    </row>
    <row r="39" spans="1:16" ht="24" customHeight="1">
      <c r="A39" s="302" t="s">
        <v>184</v>
      </c>
      <c r="B39" s="403">
        <v>4</v>
      </c>
      <c r="C39" s="332">
        <v>0.5</v>
      </c>
      <c r="D39" s="332">
        <v>0.75</v>
      </c>
      <c r="E39" s="332">
        <v>1</v>
      </c>
      <c r="F39" s="332">
        <v>1</v>
      </c>
      <c r="G39" s="332">
        <v>1</v>
      </c>
      <c r="H39" s="536" t="s">
        <v>152</v>
      </c>
      <c r="I39" s="533"/>
      <c r="J39" s="533"/>
      <c r="K39" s="534"/>
      <c r="L39" s="304">
        <v>2</v>
      </c>
      <c r="M39" s="305">
        <f>IF(L39=0,"-",ROUND(L39*B39/B$82,4))</f>
        <v>0.1111</v>
      </c>
    </row>
    <row r="40" spans="1:16" ht="24" customHeight="1">
      <c r="A40" s="309" t="s">
        <v>151</v>
      </c>
      <c r="B40" s="406"/>
      <c r="C40" s="335"/>
      <c r="D40" s="335"/>
      <c r="E40" s="335"/>
      <c r="F40" s="335" t="s">
        <v>70</v>
      </c>
      <c r="G40" s="335" t="s">
        <v>70</v>
      </c>
      <c r="H40" s="535" t="s">
        <v>153</v>
      </c>
      <c r="I40" s="535"/>
      <c r="J40" s="535"/>
      <c r="K40" s="532"/>
      <c r="L40" s="307"/>
      <c r="M40" s="308"/>
    </row>
    <row r="41" spans="1:16" ht="24" customHeight="1">
      <c r="A41" s="309"/>
      <c r="B41" s="406"/>
      <c r="C41" s="335"/>
      <c r="D41" s="335"/>
      <c r="E41" s="335"/>
      <c r="F41" s="335" t="s">
        <v>137</v>
      </c>
      <c r="G41" s="335" t="s">
        <v>138</v>
      </c>
      <c r="H41" s="535" t="s">
        <v>180</v>
      </c>
      <c r="I41" s="535"/>
      <c r="J41" s="535"/>
      <c r="K41" s="532"/>
      <c r="L41" s="307"/>
      <c r="M41" s="308"/>
    </row>
    <row r="42" spans="1:16" ht="24" customHeight="1">
      <c r="A42" s="309"/>
      <c r="B42" s="406"/>
      <c r="C42" s="336"/>
      <c r="D42" s="336"/>
      <c r="E42" s="336"/>
      <c r="F42" s="336"/>
      <c r="G42" s="390"/>
      <c r="H42" s="531"/>
      <c r="I42" s="323" t="s">
        <v>56</v>
      </c>
      <c r="J42" s="324">
        <v>75</v>
      </c>
      <c r="K42" s="532" t="s">
        <v>51</v>
      </c>
      <c r="L42" s="307"/>
      <c r="M42" s="308"/>
    </row>
    <row r="43" spans="1:16" ht="24" customHeight="1">
      <c r="A43" s="325"/>
      <c r="B43" s="359"/>
      <c r="C43" s="310"/>
      <c r="D43" s="310"/>
      <c r="E43" s="310"/>
      <c r="F43" s="310"/>
      <c r="G43" s="310"/>
      <c r="H43" s="527"/>
      <c r="I43" s="528"/>
      <c r="J43" s="528"/>
      <c r="K43" s="529"/>
      <c r="L43" s="326"/>
      <c r="M43" s="299"/>
    </row>
    <row r="44" spans="1:16" ht="24" customHeight="1">
      <c r="A44" s="302" t="s">
        <v>185</v>
      </c>
      <c r="B44" s="403">
        <v>12</v>
      </c>
      <c r="C44" s="332">
        <v>0.78</v>
      </c>
      <c r="D44" s="332">
        <v>0.81</v>
      </c>
      <c r="E44" s="332">
        <v>0.84</v>
      </c>
      <c r="F44" s="332">
        <v>0.87</v>
      </c>
      <c r="G44" s="332">
        <v>0.9</v>
      </c>
      <c r="H44" s="536" t="s">
        <v>186</v>
      </c>
      <c r="I44" s="533"/>
      <c r="J44" s="533"/>
      <c r="K44" s="534"/>
      <c r="L44" s="304">
        <v>1</v>
      </c>
      <c r="M44" s="305">
        <f>IF(L44=0,"-",ROUND(L44*B44/B$82,4))</f>
        <v>0.16669999999999999</v>
      </c>
    </row>
    <row r="45" spans="1:16" ht="24" customHeight="1">
      <c r="A45" s="309" t="s">
        <v>85</v>
      </c>
      <c r="B45" s="352"/>
      <c r="C45" s="320"/>
      <c r="D45" s="320"/>
      <c r="E45" s="320"/>
      <c r="F45" s="320"/>
      <c r="G45" s="320"/>
      <c r="H45" s="531" t="s">
        <v>196</v>
      </c>
      <c r="I45" s="535"/>
      <c r="J45" s="535"/>
      <c r="K45" s="532"/>
      <c r="L45" s="307"/>
      <c r="M45" s="308"/>
    </row>
    <row r="46" spans="1:16" ht="24" customHeight="1">
      <c r="A46" s="309"/>
      <c r="B46" s="352"/>
      <c r="C46" s="320"/>
      <c r="D46" s="320"/>
      <c r="E46" s="320"/>
      <c r="F46" s="320"/>
      <c r="G46" s="320"/>
      <c r="H46" s="327"/>
      <c r="I46" s="327" t="s">
        <v>87</v>
      </c>
      <c r="J46" s="433">
        <v>5504430000</v>
      </c>
      <c r="K46" s="532" t="s">
        <v>187</v>
      </c>
      <c r="L46" s="307"/>
      <c r="M46" s="308"/>
    </row>
    <row r="47" spans="1:16" ht="24" customHeight="1">
      <c r="A47" s="309"/>
      <c r="B47" s="352"/>
      <c r="C47" s="320"/>
      <c r="D47" s="320"/>
      <c r="E47" s="320"/>
      <c r="F47" s="320"/>
      <c r="G47" s="320"/>
      <c r="H47" s="327"/>
      <c r="I47" s="323" t="s">
        <v>188</v>
      </c>
      <c r="J47" s="434">
        <v>3141300000</v>
      </c>
      <c r="K47" s="532" t="s">
        <v>187</v>
      </c>
      <c r="L47" s="307"/>
      <c r="M47" s="308"/>
    </row>
    <row r="48" spans="1:16" ht="24" customHeight="1">
      <c r="A48" s="309"/>
      <c r="B48" s="352"/>
      <c r="C48" s="320"/>
      <c r="D48" s="320"/>
      <c r="E48" s="320"/>
      <c r="F48" s="320"/>
      <c r="G48" s="320"/>
      <c r="H48" s="327"/>
      <c r="I48" s="323" t="s">
        <v>189</v>
      </c>
      <c r="J48" s="430">
        <f>J47*100/J46</f>
        <v>57.068579307939238</v>
      </c>
      <c r="K48" s="532" t="s">
        <v>51</v>
      </c>
      <c r="L48" s="307"/>
      <c r="M48" s="308"/>
    </row>
    <row r="49" spans="1:28" ht="24" customHeight="1">
      <c r="A49" s="325"/>
      <c r="B49" s="359"/>
      <c r="C49" s="310"/>
      <c r="D49" s="310"/>
      <c r="E49" s="310"/>
      <c r="F49" s="310"/>
      <c r="G49" s="310"/>
      <c r="H49" s="337"/>
      <c r="I49" s="427"/>
      <c r="J49" s="338"/>
      <c r="K49" s="428"/>
      <c r="L49" s="326"/>
      <c r="M49" s="299"/>
    </row>
    <row r="50" spans="1:28" ht="24" customHeight="1">
      <c r="A50" s="339" t="s">
        <v>190</v>
      </c>
      <c r="B50" s="407">
        <v>4</v>
      </c>
      <c r="C50" s="340">
        <v>0.65</v>
      </c>
      <c r="D50" s="340">
        <v>0.7</v>
      </c>
      <c r="E50" s="340">
        <v>0.75</v>
      </c>
      <c r="F50" s="340">
        <v>0.8</v>
      </c>
      <c r="G50" s="340">
        <v>0.85</v>
      </c>
      <c r="H50" s="536" t="s">
        <v>156</v>
      </c>
      <c r="I50" s="533"/>
      <c r="J50" s="533"/>
      <c r="K50" s="534"/>
      <c r="L50" s="304">
        <v>1</v>
      </c>
      <c r="M50" s="305">
        <f>IF(L50=0,"-",ROUND(L50*B50/B$82,4))</f>
        <v>5.5599999999999997E-2</v>
      </c>
    </row>
    <row r="51" spans="1:28" ht="24" customHeight="1">
      <c r="A51" s="309" t="s">
        <v>145</v>
      </c>
      <c r="B51" s="352"/>
      <c r="C51" s="320"/>
      <c r="D51" s="320"/>
      <c r="E51" s="320"/>
      <c r="F51" s="320"/>
      <c r="G51" s="320"/>
      <c r="H51" s="531" t="s">
        <v>104</v>
      </c>
      <c r="I51" s="535"/>
      <c r="J51" s="535"/>
      <c r="K51" s="532"/>
      <c r="L51" s="307"/>
      <c r="M51" s="308"/>
    </row>
    <row r="52" spans="1:28" ht="24" customHeight="1">
      <c r="A52" s="389" t="s">
        <v>155</v>
      </c>
      <c r="B52" s="352"/>
      <c r="C52" s="320"/>
      <c r="D52" s="320"/>
      <c r="E52" s="320"/>
      <c r="F52" s="320"/>
      <c r="G52" s="320"/>
      <c r="H52" s="531" t="s">
        <v>105</v>
      </c>
      <c r="I52" s="535"/>
      <c r="J52" s="535"/>
      <c r="K52" s="532"/>
      <c r="L52" s="307"/>
      <c r="M52" s="308"/>
    </row>
    <row r="53" spans="1:28" ht="24" customHeight="1">
      <c r="A53" s="309"/>
      <c r="B53" s="352"/>
      <c r="C53" s="320"/>
      <c r="D53" s="320"/>
      <c r="E53" s="320"/>
      <c r="F53" s="320"/>
      <c r="G53" s="320"/>
      <c r="H53" s="341"/>
      <c r="I53" s="342" t="s">
        <v>113</v>
      </c>
      <c r="J53" s="343" t="s">
        <v>11</v>
      </c>
      <c r="K53" s="532" t="s">
        <v>51</v>
      </c>
      <c r="L53" s="307"/>
      <c r="M53" s="308"/>
    </row>
    <row r="54" spans="1:28" ht="24" customHeight="1">
      <c r="A54" s="325"/>
      <c r="B54" s="359"/>
      <c r="C54" s="310"/>
      <c r="D54" s="310"/>
      <c r="E54" s="310"/>
      <c r="F54" s="310"/>
      <c r="G54" s="416"/>
      <c r="H54" s="705" t="s">
        <v>211</v>
      </c>
      <c r="I54" s="706"/>
      <c r="J54" s="706"/>
      <c r="K54" s="707"/>
      <c r="L54" s="326"/>
      <c r="M54" s="299"/>
    </row>
    <row r="55" spans="1:28" ht="24" customHeight="1">
      <c r="A55" s="302" t="s">
        <v>106</v>
      </c>
      <c r="B55" s="407">
        <v>4</v>
      </c>
      <c r="C55" s="346" t="s">
        <v>29</v>
      </c>
      <c r="D55" s="346" t="s">
        <v>30</v>
      </c>
      <c r="E55" s="346" t="s">
        <v>31</v>
      </c>
      <c r="F55" s="346" t="s">
        <v>32</v>
      </c>
      <c r="G55" s="346" t="s">
        <v>33</v>
      </c>
      <c r="H55" s="536" t="s">
        <v>108</v>
      </c>
      <c r="I55" s="533"/>
      <c r="J55" s="533"/>
      <c r="K55" s="534"/>
      <c r="L55" s="304">
        <v>2</v>
      </c>
      <c r="M55" s="305">
        <f>IF(L55=0,"-",ROUND(L55*B55/B$82,4))</f>
        <v>0.1111</v>
      </c>
      <c r="N55" s="542" t="s">
        <v>202</v>
      </c>
    </row>
    <row r="56" spans="1:28" ht="24" customHeight="1">
      <c r="A56" s="309" t="s">
        <v>107</v>
      </c>
      <c r="B56" s="352"/>
      <c r="C56" s="348">
        <v>1.5</v>
      </c>
      <c r="D56" s="348">
        <v>2</v>
      </c>
      <c r="E56" s="348">
        <v>2.5</v>
      </c>
      <c r="F56" s="348">
        <v>3</v>
      </c>
      <c r="G56" s="348">
        <v>5</v>
      </c>
      <c r="H56" s="531" t="s">
        <v>146</v>
      </c>
      <c r="I56" s="535"/>
      <c r="J56" s="535"/>
      <c r="K56" s="532"/>
      <c r="L56" s="307"/>
      <c r="M56" s="30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</row>
    <row r="57" spans="1:28" ht="24" customHeight="1">
      <c r="A57" s="309"/>
      <c r="B57" s="352"/>
      <c r="C57" s="344"/>
      <c r="D57" s="344"/>
      <c r="E57" s="344"/>
      <c r="F57" s="344"/>
      <c r="G57" s="344"/>
      <c r="H57" s="531" t="s">
        <v>110</v>
      </c>
      <c r="I57" s="535"/>
      <c r="J57" s="535"/>
      <c r="K57" s="532"/>
      <c r="L57" s="307"/>
      <c r="M57" s="308"/>
      <c r="O57" s="356"/>
      <c r="P57" s="356"/>
      <c r="Q57" s="356"/>
      <c r="R57" s="356"/>
      <c r="S57" s="356"/>
      <c r="T57" s="356"/>
      <c r="U57" s="356"/>
      <c r="V57" s="356"/>
      <c r="W57" s="356"/>
      <c r="X57" s="356"/>
      <c r="Y57" s="356"/>
      <c r="Z57" s="356"/>
      <c r="AA57" s="356"/>
      <c r="AB57" s="356"/>
    </row>
    <row r="58" spans="1:28" ht="24" customHeight="1">
      <c r="A58" s="309"/>
      <c r="B58" s="352"/>
      <c r="C58" s="344"/>
      <c r="D58" s="344"/>
      <c r="E58" s="344"/>
      <c r="F58" s="344"/>
      <c r="G58" s="344"/>
      <c r="H58" s="531" t="s">
        <v>191</v>
      </c>
      <c r="I58" s="535"/>
      <c r="J58" s="535"/>
      <c r="K58" s="532"/>
      <c r="L58" s="307"/>
      <c r="M58" s="308"/>
      <c r="O58" s="356"/>
      <c r="P58" s="356"/>
      <c r="Q58" s="356"/>
      <c r="R58" s="356"/>
      <c r="S58" s="356"/>
      <c r="T58" s="356"/>
      <c r="U58" s="356"/>
      <c r="V58" s="356"/>
      <c r="W58" s="356"/>
      <c r="X58" s="356"/>
      <c r="Y58" s="356"/>
      <c r="Z58" s="356"/>
      <c r="AA58" s="356"/>
      <c r="AB58" s="356"/>
    </row>
    <row r="59" spans="1:28" ht="24" customHeight="1">
      <c r="A59" s="309"/>
      <c r="B59" s="352"/>
      <c r="C59" s="344"/>
      <c r="D59" s="344"/>
      <c r="E59" s="344"/>
      <c r="F59" s="344"/>
      <c r="G59" s="344"/>
      <c r="H59" s="531"/>
      <c r="I59" s="323" t="s">
        <v>112</v>
      </c>
      <c r="J59" s="324">
        <v>2</v>
      </c>
      <c r="K59" s="382"/>
      <c r="L59" s="307"/>
      <c r="M59" s="308"/>
      <c r="O59" s="356"/>
      <c r="P59" s="356"/>
      <c r="Q59" s="356"/>
      <c r="R59" s="356"/>
      <c r="S59" s="356"/>
      <c r="T59" s="356"/>
      <c r="U59" s="356"/>
      <c r="V59" s="356"/>
      <c r="W59" s="356"/>
      <c r="X59" s="356"/>
      <c r="Y59" s="356"/>
      <c r="Z59" s="356"/>
      <c r="AA59" s="356"/>
      <c r="AB59" s="356"/>
    </row>
    <row r="60" spans="1:28" ht="24" customHeight="1">
      <c r="A60" s="325"/>
      <c r="B60" s="359"/>
      <c r="C60" s="310"/>
      <c r="D60" s="310"/>
      <c r="E60" s="310"/>
      <c r="F60" s="310"/>
      <c r="G60" s="310"/>
      <c r="H60" s="705"/>
      <c r="I60" s="706"/>
      <c r="J60" s="706"/>
      <c r="K60" s="707"/>
      <c r="L60" s="326"/>
      <c r="M60" s="299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</row>
    <row r="61" spans="1:28" ht="24" customHeight="1">
      <c r="A61" s="350" t="s">
        <v>132</v>
      </c>
      <c r="B61" s="407">
        <v>4</v>
      </c>
      <c r="C61" s="340">
        <v>0.1</v>
      </c>
      <c r="D61" s="340">
        <v>0.3</v>
      </c>
      <c r="E61" s="340">
        <v>0.5</v>
      </c>
      <c r="F61" s="340">
        <v>0.7</v>
      </c>
      <c r="G61" s="340">
        <v>1</v>
      </c>
      <c r="H61" s="536" t="s">
        <v>123</v>
      </c>
      <c r="I61" s="533"/>
      <c r="J61" s="533"/>
      <c r="K61" s="534"/>
      <c r="L61" s="304">
        <v>5</v>
      </c>
      <c r="M61" s="305">
        <f>IF(L61=0,"-",ROUND(L61*B61/B$82,4))</f>
        <v>0.27779999999999999</v>
      </c>
      <c r="O61" s="356"/>
      <c r="P61" s="356"/>
      <c r="Q61" s="356"/>
      <c r="R61" s="357"/>
      <c r="S61" s="356"/>
      <c r="T61" s="356"/>
      <c r="U61" s="356"/>
      <c r="V61" s="356"/>
      <c r="W61" s="356"/>
      <c r="X61" s="356"/>
      <c r="Y61" s="356"/>
      <c r="Z61" s="356"/>
      <c r="AA61" s="356"/>
      <c r="AB61" s="356"/>
    </row>
    <row r="62" spans="1:28" ht="24" customHeight="1">
      <c r="A62" s="351" t="s">
        <v>192</v>
      </c>
      <c r="B62" s="352"/>
      <c r="C62" s="320"/>
      <c r="D62" s="320"/>
      <c r="E62" s="320"/>
      <c r="F62" s="320"/>
      <c r="G62" s="311"/>
      <c r="H62" s="531" t="s">
        <v>124</v>
      </c>
      <c r="I62" s="322"/>
      <c r="J62" s="353"/>
      <c r="K62" s="354"/>
      <c r="L62" s="355"/>
      <c r="M62" s="308"/>
      <c r="N62" s="429" t="s">
        <v>203</v>
      </c>
      <c r="O62" s="356"/>
      <c r="P62" s="356"/>
      <c r="Q62" s="356"/>
      <c r="R62" s="357"/>
      <c r="S62" s="356"/>
      <c r="T62" s="356"/>
      <c r="U62" s="356"/>
      <c r="V62" s="356"/>
      <c r="W62" s="356"/>
      <c r="X62" s="356"/>
      <c r="Y62" s="356"/>
      <c r="Z62" s="356"/>
      <c r="AA62" s="356"/>
      <c r="AB62" s="356"/>
    </row>
    <row r="63" spans="1:28" ht="24" customHeight="1">
      <c r="A63" s="351"/>
      <c r="B63" s="352"/>
      <c r="C63" s="320"/>
      <c r="D63" s="320"/>
      <c r="E63" s="320"/>
      <c r="F63" s="320"/>
      <c r="G63" s="320"/>
      <c r="H63" s="535" t="s">
        <v>125</v>
      </c>
      <c r="I63" s="322"/>
      <c r="J63" s="353"/>
      <c r="K63" s="354"/>
      <c r="L63" s="355"/>
      <c r="M63" s="308"/>
    </row>
    <row r="64" spans="1:28" ht="24" customHeight="1">
      <c r="A64" s="351"/>
      <c r="B64" s="352"/>
      <c r="C64" s="320"/>
      <c r="D64" s="320"/>
      <c r="E64" s="320"/>
      <c r="F64" s="320"/>
      <c r="G64" s="320"/>
      <c r="H64" s="531" t="s">
        <v>126</v>
      </c>
      <c r="I64" s="322"/>
      <c r="J64" s="353"/>
      <c r="K64" s="354"/>
      <c r="L64" s="355"/>
      <c r="M64" s="308"/>
    </row>
    <row r="65" spans="1:15" ht="24" customHeight="1">
      <c r="A65" s="351"/>
      <c r="B65" s="352"/>
      <c r="C65" s="320"/>
      <c r="D65" s="320"/>
      <c r="E65" s="320"/>
      <c r="F65" s="320"/>
      <c r="G65" s="320"/>
      <c r="H65" s="531" t="s">
        <v>127</v>
      </c>
      <c r="I65" s="322"/>
      <c r="J65" s="353"/>
      <c r="K65" s="354"/>
      <c r="L65" s="355"/>
      <c r="M65" s="308"/>
    </row>
    <row r="66" spans="1:15" ht="24" customHeight="1">
      <c r="A66" s="351"/>
      <c r="B66" s="352"/>
      <c r="C66" s="320"/>
      <c r="D66" s="320"/>
      <c r="E66" s="320"/>
      <c r="F66" s="320"/>
      <c r="G66" s="320"/>
      <c r="H66" s="531"/>
      <c r="I66" s="323" t="s">
        <v>114</v>
      </c>
      <c r="J66" s="408">
        <v>100</v>
      </c>
      <c r="K66" s="382" t="s">
        <v>51</v>
      </c>
      <c r="L66" s="355"/>
      <c r="M66" s="308"/>
    </row>
    <row r="67" spans="1:15" ht="24" customHeight="1">
      <c r="A67" s="358"/>
      <c r="B67" s="359"/>
      <c r="C67" s="310"/>
      <c r="D67" s="310"/>
      <c r="E67" s="310"/>
      <c r="F67" s="310"/>
      <c r="G67" s="310"/>
      <c r="H67" s="330"/>
      <c r="I67" s="427"/>
      <c r="J67" s="427"/>
      <c r="K67" s="428"/>
      <c r="L67" s="360"/>
      <c r="M67" s="299"/>
    </row>
    <row r="68" spans="1:15" ht="24" customHeight="1">
      <c r="A68" s="302" t="s">
        <v>115</v>
      </c>
      <c r="B68" s="407">
        <v>4</v>
      </c>
      <c r="C68" s="361">
        <v>0.8</v>
      </c>
      <c r="D68" s="361">
        <v>0.85</v>
      </c>
      <c r="E68" s="361">
        <v>0.9</v>
      </c>
      <c r="F68" s="361">
        <v>0.95</v>
      </c>
      <c r="G68" s="361">
        <v>1</v>
      </c>
      <c r="H68" s="536" t="s">
        <v>157</v>
      </c>
      <c r="I68" s="533"/>
      <c r="J68" s="533"/>
      <c r="K68" s="534"/>
      <c r="L68" s="304">
        <v>4.9779999999999998</v>
      </c>
      <c r="M68" s="305">
        <f>IF(L68=0,"-",ROUND(L68*B68/B$82,4))</f>
        <v>0.27660000000000001</v>
      </c>
      <c r="N68" s="292">
        <v>5</v>
      </c>
      <c r="O68" s="292">
        <v>1</v>
      </c>
    </row>
    <row r="69" spans="1:15" ht="24" customHeight="1">
      <c r="A69" s="309" t="s">
        <v>116</v>
      </c>
      <c r="B69" s="352"/>
      <c r="C69" s="348"/>
      <c r="D69" s="348"/>
      <c r="E69" s="348"/>
      <c r="F69" s="348"/>
      <c r="G69" s="348"/>
      <c r="H69" s="531" t="s">
        <v>158</v>
      </c>
      <c r="I69" s="535"/>
      <c r="J69" s="535"/>
      <c r="K69" s="532"/>
      <c r="L69" s="362"/>
      <c r="M69" s="308"/>
      <c r="N69" s="292">
        <v>4.8899999999999997</v>
      </c>
      <c r="O69" s="292">
        <f>O68*N69/N68</f>
        <v>0.97799999999999998</v>
      </c>
    </row>
    <row r="70" spans="1:15" ht="23.25">
      <c r="A70" s="309" t="s">
        <v>193</v>
      </c>
      <c r="B70" s="352"/>
      <c r="C70" s="320"/>
      <c r="D70" s="320"/>
      <c r="E70" s="320"/>
      <c r="F70" s="320"/>
      <c r="G70" s="320"/>
      <c r="H70" s="531" t="s">
        <v>197</v>
      </c>
      <c r="I70" s="535"/>
      <c r="J70" s="535"/>
      <c r="K70" s="532"/>
      <c r="L70" s="362"/>
      <c r="M70" s="308"/>
    </row>
    <row r="71" spans="1:15" ht="23.25">
      <c r="A71" s="309"/>
      <c r="B71" s="352"/>
      <c r="C71" s="320"/>
      <c r="D71" s="320"/>
      <c r="E71" s="320"/>
      <c r="F71" s="320"/>
      <c r="G71" s="320"/>
      <c r="H71" s="531" t="s">
        <v>120</v>
      </c>
      <c r="I71" s="535"/>
      <c r="J71" s="535"/>
      <c r="K71" s="532"/>
      <c r="L71" s="362"/>
      <c r="M71" s="308"/>
    </row>
    <row r="72" spans="1:15" ht="23.25">
      <c r="A72" s="309"/>
      <c r="B72" s="352"/>
      <c r="C72" s="320"/>
      <c r="D72" s="320"/>
      <c r="E72" s="320"/>
      <c r="F72" s="320"/>
      <c r="G72" s="320"/>
      <c r="H72" s="531" t="s">
        <v>194</v>
      </c>
      <c r="I72" s="535"/>
      <c r="J72" s="535"/>
      <c r="K72" s="532"/>
      <c r="L72" s="362"/>
      <c r="M72" s="308"/>
    </row>
    <row r="73" spans="1:15" ht="23.25">
      <c r="A73" s="309"/>
      <c r="B73" s="352"/>
      <c r="C73" s="320"/>
      <c r="D73" s="320"/>
      <c r="E73" s="320"/>
      <c r="F73" s="320"/>
      <c r="G73" s="344"/>
      <c r="H73" s="531" t="s">
        <v>195</v>
      </c>
      <c r="I73" s="345"/>
      <c r="J73" s="408">
        <v>99.89</v>
      </c>
      <c r="K73" s="414" t="s">
        <v>51</v>
      </c>
      <c r="L73" s="413"/>
      <c r="M73" s="308"/>
    </row>
    <row r="74" spans="1:15" ht="23.25">
      <c r="A74" s="358"/>
      <c r="B74" s="415"/>
      <c r="C74" s="412"/>
      <c r="D74" s="412"/>
      <c r="E74" s="412"/>
      <c r="F74" s="412"/>
      <c r="G74" s="329"/>
      <c r="H74" s="538"/>
      <c r="I74" s="418"/>
      <c r="J74" s="419"/>
      <c r="K74" s="417"/>
      <c r="L74" s="420"/>
      <c r="M74" s="308"/>
    </row>
    <row r="75" spans="1:15" ht="23.25">
      <c r="A75" s="351" t="s">
        <v>316</v>
      </c>
      <c r="B75" s="543">
        <v>4</v>
      </c>
      <c r="C75" s="544">
        <v>0.4</v>
      </c>
      <c r="D75" s="544">
        <v>0.45</v>
      </c>
      <c r="E75" s="544">
        <v>0.5</v>
      </c>
      <c r="F75" s="544">
        <v>0.55000000000000004</v>
      </c>
      <c r="G75" s="544">
        <v>0.6</v>
      </c>
      <c r="H75" s="531" t="s">
        <v>317</v>
      </c>
      <c r="I75" s="345"/>
      <c r="J75" s="545"/>
      <c r="K75" s="546"/>
      <c r="L75" s="413">
        <v>4</v>
      </c>
      <c r="M75" s="305">
        <f>IF(L75=0,"-",ROUND(L75*B75/B$82,4))</f>
        <v>0.22220000000000001</v>
      </c>
    </row>
    <row r="76" spans="1:15" ht="23.25">
      <c r="A76" s="351" t="s">
        <v>318</v>
      </c>
      <c r="B76" s="406"/>
      <c r="C76" s="311"/>
      <c r="D76" s="311"/>
      <c r="E76" s="311"/>
      <c r="F76" s="311"/>
      <c r="G76" s="333"/>
      <c r="H76" s="531" t="s">
        <v>319</v>
      </c>
      <c r="I76" s="345"/>
      <c r="J76" s="545"/>
      <c r="K76" s="546"/>
      <c r="L76" s="413"/>
      <c r="M76" s="308"/>
    </row>
    <row r="77" spans="1:15" ht="23.25">
      <c r="A77" s="351"/>
      <c r="B77" s="406"/>
      <c r="C77" s="311"/>
      <c r="D77" s="311"/>
      <c r="E77" s="311"/>
      <c r="F77" s="311"/>
      <c r="G77" s="333"/>
      <c r="H77" s="531"/>
      <c r="I77" s="345"/>
      <c r="J77" s="545"/>
      <c r="K77" s="546"/>
      <c r="L77" s="413"/>
      <c r="M77" s="308"/>
    </row>
    <row r="78" spans="1:15" ht="23.25">
      <c r="A78" s="351"/>
      <c r="B78" s="406"/>
      <c r="C78" s="311"/>
      <c r="D78" s="311"/>
      <c r="E78" s="311"/>
      <c r="F78" s="311"/>
      <c r="G78" s="333"/>
      <c r="H78" s="531"/>
      <c r="I78" s="345" t="s">
        <v>174</v>
      </c>
      <c r="J78" s="547">
        <v>55</v>
      </c>
      <c r="K78" s="414" t="s">
        <v>51</v>
      </c>
      <c r="L78" s="413"/>
      <c r="M78" s="308"/>
    </row>
    <row r="79" spans="1:15" ht="23.25">
      <c r="A79" s="351"/>
      <c r="B79" s="406"/>
      <c r="C79" s="311"/>
      <c r="D79" s="311"/>
      <c r="E79" s="311"/>
      <c r="F79" s="311"/>
      <c r="G79" s="333"/>
      <c r="H79" s="531"/>
      <c r="I79" s="345"/>
      <c r="J79" s="545"/>
      <c r="K79" s="546"/>
      <c r="L79" s="413"/>
      <c r="M79" s="308"/>
    </row>
    <row r="80" spans="1:15" ht="23.25">
      <c r="A80" s="351"/>
      <c r="B80" s="406"/>
      <c r="C80" s="311"/>
      <c r="D80" s="311"/>
      <c r="E80" s="311"/>
      <c r="F80" s="311"/>
      <c r="G80" s="333"/>
      <c r="H80" s="531"/>
      <c r="I80" s="345"/>
      <c r="J80" s="545"/>
      <c r="K80" s="546"/>
      <c r="L80" s="413"/>
      <c r="M80" s="308"/>
    </row>
    <row r="81" spans="1:13" ht="23.25">
      <c r="A81" s="358"/>
      <c r="B81" s="415"/>
      <c r="C81" s="412"/>
      <c r="D81" s="412"/>
      <c r="E81" s="412"/>
      <c r="F81" s="412"/>
      <c r="G81" s="416"/>
      <c r="H81" s="538"/>
      <c r="I81" s="345"/>
      <c r="J81" s="545"/>
      <c r="K81" s="417"/>
      <c r="L81" s="413"/>
      <c r="M81" s="308"/>
    </row>
    <row r="82" spans="1:13" ht="26.25">
      <c r="A82" s="363"/>
      <c r="B82" s="409">
        <f>ROUND(SUM(B6:B81),1)</f>
        <v>72</v>
      </c>
      <c r="C82" s="364"/>
      <c r="D82" s="364"/>
      <c r="E82" s="364"/>
      <c r="F82" s="364"/>
      <c r="G82" s="365"/>
      <c r="H82" s="364"/>
      <c r="I82" s="364"/>
      <c r="J82" s="364"/>
      <c r="K82" s="364"/>
      <c r="L82" s="366" t="s">
        <v>139</v>
      </c>
      <c r="M82" s="410">
        <f>(SUM(M6:M81))</f>
        <v>1.7678999999999998</v>
      </c>
    </row>
  </sheetData>
  <mergeCells count="19"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  <mergeCell ref="H60:K60"/>
    <mergeCell ref="H14:K14"/>
    <mergeCell ref="H15:K15"/>
    <mergeCell ref="H20:K20"/>
    <mergeCell ref="H22:K22"/>
    <mergeCell ref="H27:K27"/>
    <mergeCell ref="H54:K54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32" max="12" man="1"/>
    <brk id="60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AF99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6384" width="9.140625" style="292"/>
  </cols>
  <sheetData>
    <row r="1" spans="1:16" ht="24" customHeight="1">
      <c r="A1" s="710" t="s">
        <v>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16" ht="24" customHeight="1">
      <c r="A2" s="710" t="s">
        <v>320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</row>
    <row r="3" spans="1:16" ht="24" customHeight="1">
      <c r="A3" s="293" t="s">
        <v>321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16" s="298" customFormat="1" ht="24" customHeight="1">
      <c r="A4" s="296" t="s">
        <v>1</v>
      </c>
      <c r="B4" s="296" t="s">
        <v>2</v>
      </c>
      <c r="C4" s="712" t="s">
        <v>3</v>
      </c>
      <c r="D4" s="712"/>
      <c r="E4" s="712"/>
      <c r="F4" s="712"/>
      <c r="G4" s="712"/>
      <c r="H4" s="713" t="s">
        <v>4</v>
      </c>
      <c r="I4" s="714"/>
      <c r="J4" s="714"/>
      <c r="K4" s="715"/>
      <c r="L4" s="719" t="s">
        <v>5</v>
      </c>
      <c r="M4" s="297" t="s">
        <v>6</v>
      </c>
    </row>
    <row r="5" spans="1:16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16"/>
      <c r="I5" s="717"/>
      <c r="J5" s="717"/>
      <c r="K5" s="718"/>
      <c r="L5" s="719"/>
      <c r="M5" s="301" t="s">
        <v>9</v>
      </c>
    </row>
    <row r="6" spans="1:16" ht="24" customHeight="1">
      <c r="A6" s="302" t="s">
        <v>159</v>
      </c>
      <c r="B6" s="391">
        <v>12</v>
      </c>
      <c r="C6" s="392">
        <v>0.6</v>
      </c>
      <c r="D6" s="393">
        <v>0.7</v>
      </c>
      <c r="E6" s="393">
        <v>0.8</v>
      </c>
      <c r="F6" s="393">
        <v>0.9</v>
      </c>
      <c r="G6" s="394">
        <v>1</v>
      </c>
      <c r="H6" s="708" t="s">
        <v>14</v>
      </c>
      <c r="I6" s="708"/>
      <c r="J6" s="709" t="s">
        <v>160</v>
      </c>
      <c r="K6" s="709"/>
      <c r="L6" s="395">
        <v>4.8895</v>
      </c>
      <c r="M6" s="305">
        <f>IF(L6=0,"-",ROUND(L6*B6/B$99,4))</f>
        <v>0.66679999999999995</v>
      </c>
    </row>
    <row r="7" spans="1:16" ht="24" customHeight="1">
      <c r="A7" s="309" t="s">
        <v>161</v>
      </c>
      <c r="B7" s="327"/>
      <c r="C7" s="316"/>
      <c r="D7" s="316"/>
      <c r="E7" s="316"/>
      <c r="F7" s="316"/>
      <c r="G7" s="396"/>
      <c r="H7" s="708"/>
      <c r="I7" s="708"/>
      <c r="J7" s="530" t="s">
        <v>17</v>
      </c>
      <c r="K7" s="367" t="s">
        <v>18</v>
      </c>
      <c r="L7" s="355"/>
      <c r="M7" s="308"/>
    </row>
    <row r="8" spans="1:16" ht="24" customHeight="1">
      <c r="A8" s="309"/>
      <c r="B8" s="327"/>
      <c r="C8" s="318"/>
      <c r="D8" s="318"/>
      <c r="E8" s="318"/>
      <c r="F8" s="318"/>
      <c r="G8" s="397"/>
      <c r="H8" s="536" t="s">
        <v>162</v>
      </c>
      <c r="I8" s="534"/>
      <c r="J8" s="398">
        <v>61</v>
      </c>
      <c r="K8" s="548">
        <v>0.98895</v>
      </c>
      <c r="L8" s="355"/>
      <c r="M8" s="308"/>
    </row>
    <row r="9" spans="1:16" ht="24" customHeight="1">
      <c r="A9" s="309"/>
      <c r="B9" s="399"/>
      <c r="C9" s="319"/>
      <c r="D9" s="320"/>
      <c r="E9" s="320"/>
      <c r="F9" s="320"/>
      <c r="G9" s="311"/>
      <c r="H9" s="720" t="s">
        <v>163</v>
      </c>
      <c r="I9" s="721"/>
      <c r="J9" s="400"/>
      <c r="K9" s="368"/>
      <c r="L9" s="355"/>
      <c r="M9" s="308"/>
      <c r="O9" s="314"/>
      <c r="P9" s="315"/>
    </row>
    <row r="10" spans="1:16" ht="24" customHeight="1">
      <c r="A10" s="309"/>
      <c r="B10" s="399"/>
      <c r="C10" s="320"/>
      <c r="D10" s="320"/>
      <c r="E10" s="320"/>
      <c r="F10" s="320"/>
      <c r="G10" s="311"/>
      <c r="H10" s="720"/>
      <c r="I10" s="721"/>
      <c r="J10" s="400"/>
      <c r="K10" s="321"/>
      <c r="L10" s="355"/>
      <c r="M10" s="308"/>
      <c r="O10" s="314"/>
      <c r="P10" s="317"/>
    </row>
    <row r="11" spans="1:16" ht="24" customHeight="1" thickBot="1">
      <c r="A11" s="309"/>
      <c r="B11" s="399"/>
      <c r="C11" s="310"/>
      <c r="D11" s="310"/>
      <c r="E11" s="310"/>
      <c r="F11" s="310" t="s">
        <v>164</v>
      </c>
      <c r="G11" s="310"/>
      <c r="H11" s="725" t="s">
        <v>20</v>
      </c>
      <c r="I11" s="725"/>
      <c r="J11" s="401">
        <f>SUM(J5:J10)</f>
        <v>61</v>
      </c>
      <c r="K11" s="549" t="s">
        <v>11</v>
      </c>
      <c r="L11" s="355"/>
      <c r="M11" s="308"/>
    </row>
    <row r="12" spans="1:16" ht="24" customHeight="1" thickTop="1">
      <c r="A12" s="302" t="s">
        <v>165</v>
      </c>
      <c r="B12" s="391">
        <v>12</v>
      </c>
      <c r="C12" s="550">
        <v>6197</v>
      </c>
      <c r="D12" s="313">
        <v>6375</v>
      </c>
      <c r="E12" s="313">
        <v>6555</v>
      </c>
      <c r="F12" s="313">
        <v>6734</v>
      </c>
      <c r="G12" s="313">
        <v>6912</v>
      </c>
      <c r="H12" s="727" t="s">
        <v>14</v>
      </c>
      <c r="I12" s="728"/>
      <c r="J12" s="730" t="s">
        <v>15</v>
      </c>
      <c r="K12" s="730"/>
      <c r="L12" s="304">
        <v>1</v>
      </c>
      <c r="M12" s="305">
        <f>IF(L12=0,"-",ROUND(L12*B12/B$99,4))</f>
        <v>0.13639999999999999</v>
      </c>
    </row>
    <row r="13" spans="1:16" ht="24" customHeight="1">
      <c r="A13" s="309" t="s">
        <v>166</v>
      </c>
      <c r="B13" s="399"/>
      <c r="C13" s="316" t="s">
        <v>38</v>
      </c>
      <c r="D13" s="316" t="s">
        <v>38</v>
      </c>
      <c r="E13" s="316" t="s">
        <v>39</v>
      </c>
      <c r="F13" s="316" t="s">
        <v>38</v>
      </c>
      <c r="G13" s="316" t="s">
        <v>38</v>
      </c>
      <c r="H13" s="729"/>
      <c r="I13" s="708"/>
      <c r="J13" s="530" t="s">
        <v>17</v>
      </c>
      <c r="K13" s="367" t="s">
        <v>18</v>
      </c>
      <c r="L13" s="307"/>
      <c r="M13" s="308"/>
    </row>
    <row r="14" spans="1:16" ht="24" customHeight="1">
      <c r="A14" s="309"/>
      <c r="B14" s="399"/>
      <c r="C14" s="320"/>
      <c r="D14" s="320"/>
      <c r="E14" s="320"/>
      <c r="F14" s="320"/>
      <c r="G14" s="320"/>
      <c r="H14" s="536" t="s">
        <v>19</v>
      </c>
      <c r="I14" s="534"/>
      <c r="J14" s="398">
        <v>3800</v>
      </c>
      <c r="K14" s="497">
        <v>3800</v>
      </c>
      <c r="L14" s="307"/>
      <c r="M14" s="308"/>
    </row>
    <row r="15" spans="1:16" ht="24" customHeight="1">
      <c r="A15" s="309"/>
      <c r="B15" s="399"/>
      <c r="C15" s="320"/>
      <c r="D15" s="320"/>
      <c r="E15" s="320"/>
      <c r="F15" s="320"/>
      <c r="G15" s="320"/>
      <c r="H15" s="720" t="s">
        <v>140</v>
      </c>
      <c r="I15" s="721"/>
      <c r="J15" s="400"/>
      <c r="K15" s="368"/>
      <c r="L15" s="307"/>
      <c r="M15" s="308"/>
    </row>
    <row r="16" spans="1:16" ht="24" customHeight="1">
      <c r="A16" s="309"/>
      <c r="B16" s="399"/>
      <c r="C16" s="320"/>
      <c r="D16" s="320"/>
      <c r="E16" s="320"/>
      <c r="F16" s="320"/>
      <c r="G16" s="320"/>
      <c r="H16" s="720"/>
      <c r="I16" s="721"/>
      <c r="J16" s="400"/>
      <c r="K16" s="321"/>
      <c r="L16" s="307"/>
      <c r="M16" s="308"/>
    </row>
    <row r="17" spans="1:14" ht="24" customHeight="1">
      <c r="A17" s="309"/>
      <c r="B17" s="399"/>
      <c r="C17" s="320"/>
      <c r="D17" s="320"/>
      <c r="E17" s="320"/>
      <c r="F17" s="320"/>
      <c r="G17" s="320"/>
      <c r="H17" s="531" t="s">
        <v>167</v>
      </c>
      <c r="I17" s="532"/>
      <c r="J17" s="400">
        <v>3500</v>
      </c>
      <c r="K17" s="431" t="s">
        <v>11</v>
      </c>
      <c r="L17" s="307"/>
      <c r="M17" s="308"/>
    </row>
    <row r="18" spans="1:14" ht="24" customHeight="1">
      <c r="A18" s="309"/>
      <c r="B18" s="399"/>
      <c r="C18" s="320"/>
      <c r="D18" s="320"/>
      <c r="E18" s="320"/>
      <c r="F18" s="320"/>
      <c r="G18" s="320"/>
      <c r="H18" s="720" t="s">
        <v>168</v>
      </c>
      <c r="I18" s="721"/>
      <c r="J18" s="400"/>
      <c r="K18" s="321"/>
      <c r="L18" s="307"/>
      <c r="M18" s="308"/>
    </row>
    <row r="19" spans="1:14" ht="24" customHeight="1">
      <c r="A19" s="309"/>
      <c r="B19" s="399"/>
      <c r="C19" s="320"/>
      <c r="D19" s="320"/>
      <c r="E19" s="320"/>
      <c r="F19" s="320"/>
      <c r="G19" s="320"/>
      <c r="H19" s="732"/>
      <c r="I19" s="733"/>
      <c r="J19" s="400"/>
      <c r="K19" s="321"/>
      <c r="L19" s="307"/>
      <c r="M19" s="308"/>
    </row>
    <row r="20" spans="1:14" ht="24" customHeight="1" thickBot="1">
      <c r="A20" s="309"/>
      <c r="B20" s="399"/>
      <c r="C20" s="320"/>
      <c r="D20" s="320"/>
      <c r="E20" s="320"/>
      <c r="F20" s="320"/>
      <c r="G20" s="320"/>
      <c r="H20" s="725" t="s">
        <v>20</v>
      </c>
      <c r="I20" s="725"/>
      <c r="J20" s="401">
        <f>SUM(J14:J19)</f>
        <v>7300</v>
      </c>
      <c r="K20" s="432">
        <f>K14</f>
        <v>3800</v>
      </c>
      <c r="L20" s="307"/>
      <c r="M20" s="308"/>
    </row>
    <row r="21" spans="1:14" ht="24" customHeight="1" thickTop="1">
      <c r="A21" s="302" t="s">
        <v>169</v>
      </c>
      <c r="B21" s="391">
        <v>4</v>
      </c>
      <c r="C21" s="303">
        <v>0.65</v>
      </c>
      <c r="D21" s="303">
        <v>0.7</v>
      </c>
      <c r="E21" s="303">
        <v>0.75</v>
      </c>
      <c r="F21" s="303">
        <v>0.8</v>
      </c>
      <c r="G21" s="303">
        <v>0.85</v>
      </c>
      <c r="H21" s="726" t="s">
        <v>141</v>
      </c>
      <c r="I21" s="722"/>
      <c r="J21" s="722"/>
      <c r="K21" s="723"/>
      <c r="L21" s="304">
        <v>1</v>
      </c>
      <c r="M21" s="305">
        <f>IF(L21=0,"-",ROUND(L21*B21/B$99,4))</f>
        <v>4.5499999999999999E-2</v>
      </c>
    </row>
    <row r="22" spans="1:14" ht="24" customHeight="1">
      <c r="A22" s="309" t="s">
        <v>44</v>
      </c>
      <c r="B22" s="399"/>
      <c r="C22" s="320"/>
      <c r="D22" s="320"/>
      <c r="E22" s="320"/>
      <c r="F22" s="320"/>
      <c r="G22" s="320"/>
      <c r="H22" s="720" t="s">
        <v>142</v>
      </c>
      <c r="I22" s="724"/>
      <c r="J22" s="724"/>
      <c r="K22" s="721"/>
      <c r="L22" s="307"/>
      <c r="M22" s="308"/>
    </row>
    <row r="23" spans="1:14" ht="24" customHeight="1">
      <c r="A23" s="309"/>
      <c r="B23" s="399"/>
      <c r="C23" s="320"/>
      <c r="D23" s="320"/>
      <c r="E23" s="320"/>
      <c r="F23" s="320"/>
      <c r="G23" s="320"/>
      <c r="H23" s="720" t="s">
        <v>143</v>
      </c>
      <c r="I23" s="724"/>
      <c r="J23" s="724"/>
      <c r="K23" s="721"/>
      <c r="L23" s="307"/>
      <c r="M23" s="308"/>
    </row>
    <row r="24" spans="1:14" ht="24" customHeight="1">
      <c r="A24" s="309"/>
      <c r="B24" s="399"/>
      <c r="C24" s="320"/>
      <c r="D24" s="320"/>
      <c r="E24" s="320"/>
      <c r="F24" s="320"/>
      <c r="G24" s="320"/>
      <c r="H24" s="720" t="s">
        <v>144</v>
      </c>
      <c r="I24" s="724"/>
      <c r="J24" s="724"/>
      <c r="K24" s="721"/>
      <c r="L24" s="307"/>
      <c r="M24" s="308"/>
    </row>
    <row r="25" spans="1:14" ht="24" customHeight="1">
      <c r="A25" s="309"/>
      <c r="B25" s="399"/>
      <c r="C25" s="320"/>
      <c r="D25" s="320"/>
      <c r="E25" s="320"/>
      <c r="F25" s="320"/>
      <c r="G25" s="320"/>
      <c r="H25" s="720" t="s">
        <v>170</v>
      </c>
      <c r="I25" s="724"/>
      <c r="J25" s="724"/>
      <c r="K25" s="721"/>
      <c r="L25" s="307"/>
      <c r="M25" s="308"/>
    </row>
    <row r="26" spans="1:14" ht="24" customHeight="1">
      <c r="A26" s="309"/>
      <c r="B26" s="399"/>
      <c r="C26" s="320"/>
      <c r="D26" s="320"/>
      <c r="E26" s="320"/>
      <c r="F26" s="320"/>
      <c r="G26" s="320"/>
      <c r="I26" s="323" t="s">
        <v>54</v>
      </c>
      <c r="J26" s="324" t="s">
        <v>11</v>
      </c>
      <c r="K26" s="532" t="s">
        <v>51</v>
      </c>
      <c r="L26" s="307"/>
      <c r="M26" s="308"/>
    </row>
    <row r="27" spans="1:14" ht="24" customHeight="1">
      <c r="A27" s="325"/>
      <c r="B27" s="402"/>
      <c r="C27" s="310"/>
      <c r="D27" s="310"/>
      <c r="E27" s="310"/>
      <c r="F27" s="310"/>
      <c r="G27" s="310"/>
      <c r="H27" s="705" t="s">
        <v>212</v>
      </c>
      <c r="I27" s="706"/>
      <c r="J27" s="706"/>
      <c r="K27" s="707"/>
      <c r="L27" s="326"/>
      <c r="M27" s="299"/>
    </row>
    <row r="28" spans="1:14" ht="24" customHeight="1">
      <c r="A28" s="302" t="s">
        <v>53</v>
      </c>
      <c r="B28" s="403">
        <v>12</v>
      </c>
      <c r="C28" s="303">
        <v>0.6</v>
      </c>
      <c r="D28" s="303">
        <v>0.7</v>
      </c>
      <c r="E28" s="303">
        <v>0.8</v>
      </c>
      <c r="F28" s="303">
        <v>0.9</v>
      </c>
      <c r="G28" s="303">
        <v>1</v>
      </c>
      <c r="H28" s="722" t="s">
        <v>171</v>
      </c>
      <c r="I28" s="722"/>
      <c r="J28" s="722"/>
      <c r="K28" s="723"/>
      <c r="L28" s="304">
        <v>1</v>
      </c>
      <c r="M28" s="305">
        <f>IF(L28=0,"-",ROUND(L28*B28/B$99,4))</f>
        <v>0.13639999999999999</v>
      </c>
      <c r="N28" s="429" t="s">
        <v>199</v>
      </c>
    </row>
    <row r="29" spans="1:14" ht="24" customHeight="1">
      <c r="A29" s="309" t="s">
        <v>21</v>
      </c>
      <c r="B29" s="352"/>
      <c r="C29" s="320"/>
      <c r="D29" s="320"/>
      <c r="E29" s="320"/>
      <c r="F29" s="320"/>
      <c r="G29" s="320"/>
      <c r="H29" s="720" t="s">
        <v>83</v>
      </c>
      <c r="I29" s="724"/>
      <c r="J29" s="724"/>
      <c r="K29" s="721"/>
      <c r="L29" s="307"/>
      <c r="M29" s="308"/>
    </row>
    <row r="30" spans="1:14" ht="24" customHeight="1">
      <c r="A30" s="309"/>
      <c r="B30" s="352"/>
      <c r="C30" s="320"/>
      <c r="D30" s="320"/>
      <c r="E30" s="320"/>
      <c r="F30" s="320"/>
      <c r="G30" s="320"/>
      <c r="H30" s="720" t="s">
        <v>172</v>
      </c>
      <c r="I30" s="724"/>
      <c r="J30" s="724"/>
      <c r="K30" s="721"/>
      <c r="L30" s="307"/>
      <c r="M30" s="308"/>
    </row>
    <row r="31" spans="1:14" ht="24" customHeight="1">
      <c r="A31" s="309"/>
      <c r="B31" s="352"/>
      <c r="C31" s="320"/>
      <c r="D31" s="320"/>
      <c r="E31" s="320"/>
      <c r="F31" s="320"/>
      <c r="G31" s="320"/>
      <c r="H31" s="380" t="s">
        <v>173</v>
      </c>
      <c r="I31" s="323"/>
      <c r="J31" s="328"/>
      <c r="K31" s="532"/>
      <c r="L31" s="307"/>
      <c r="M31" s="308"/>
    </row>
    <row r="32" spans="1:14" ht="24" customHeight="1">
      <c r="A32" s="309"/>
      <c r="B32" s="352"/>
      <c r="C32" s="320"/>
      <c r="D32" s="320"/>
      <c r="E32" s="320"/>
      <c r="F32" s="320"/>
      <c r="G32" s="320"/>
      <c r="H32" s="380"/>
      <c r="I32" s="323"/>
      <c r="J32" s="328"/>
      <c r="K32" s="532"/>
      <c r="L32" s="307"/>
      <c r="M32" s="308"/>
    </row>
    <row r="33" spans="1:14" ht="24" customHeight="1">
      <c r="A33" s="309"/>
      <c r="B33" s="352"/>
      <c r="C33" s="320"/>
      <c r="D33" s="320"/>
      <c r="E33" s="320"/>
      <c r="F33" s="320"/>
      <c r="G33" s="320"/>
      <c r="H33" s="380"/>
      <c r="I33" s="323" t="s">
        <v>174</v>
      </c>
      <c r="J33" s="328">
        <v>46.39</v>
      </c>
      <c r="K33" s="532" t="s">
        <v>51</v>
      </c>
      <c r="L33" s="307"/>
      <c r="M33" s="308"/>
    </row>
    <row r="34" spans="1:14" ht="24" customHeight="1">
      <c r="A34" s="325"/>
      <c r="B34" s="359"/>
      <c r="C34" s="310"/>
      <c r="D34" s="310"/>
      <c r="E34" s="310"/>
      <c r="F34" s="310"/>
      <c r="G34" s="310"/>
      <c r="H34" s="329"/>
      <c r="I34" s="330"/>
      <c r="J34" s="404"/>
      <c r="K34" s="331"/>
      <c r="L34" s="326"/>
      <c r="M34" s="299"/>
    </row>
    <row r="35" spans="1:14" ht="24" customHeight="1">
      <c r="A35" s="302" t="s">
        <v>175</v>
      </c>
      <c r="B35" s="403">
        <v>12</v>
      </c>
      <c r="C35" s="303">
        <v>0.6</v>
      </c>
      <c r="D35" s="303">
        <v>0.7</v>
      </c>
      <c r="E35" s="303">
        <v>0.8</v>
      </c>
      <c r="F35" s="303">
        <v>0.9</v>
      </c>
      <c r="G35" s="303">
        <v>1</v>
      </c>
      <c r="H35" s="722" t="s">
        <v>176</v>
      </c>
      <c r="I35" s="722"/>
      <c r="J35" s="722"/>
      <c r="K35" s="723"/>
      <c r="L35" s="304">
        <v>1</v>
      </c>
      <c r="M35" s="305">
        <f>IF(L35=0,"-",ROUND(L35*B35/B$99,4))</f>
        <v>0.13639999999999999</v>
      </c>
    </row>
    <row r="36" spans="1:14" ht="24" customHeight="1">
      <c r="A36" s="309" t="s">
        <v>177</v>
      </c>
      <c r="B36" s="352"/>
      <c r="C36" s="320"/>
      <c r="D36" s="320"/>
      <c r="E36" s="320"/>
      <c r="F36" s="320"/>
      <c r="G36" s="320"/>
      <c r="H36" s="405" t="s">
        <v>178</v>
      </c>
      <c r="L36" s="307"/>
      <c r="M36" s="308"/>
    </row>
    <row r="37" spans="1:14" ht="24" customHeight="1">
      <c r="A37" s="309"/>
      <c r="B37" s="352"/>
      <c r="C37" s="320"/>
      <c r="D37" s="320"/>
      <c r="E37" s="320"/>
      <c r="F37" s="320"/>
      <c r="G37" s="320"/>
      <c r="H37" s="720" t="s">
        <v>83</v>
      </c>
      <c r="I37" s="724"/>
      <c r="J37" s="724"/>
      <c r="K37" s="721"/>
      <c r="L37" s="307"/>
      <c r="M37" s="308"/>
    </row>
    <row r="38" spans="1:14" ht="24" customHeight="1">
      <c r="A38" s="309"/>
      <c r="B38" s="352"/>
      <c r="C38" s="320"/>
      <c r="D38" s="320"/>
      <c r="E38" s="320"/>
      <c r="F38" s="320"/>
      <c r="G38" s="320"/>
      <c r="H38" s="531" t="s">
        <v>172</v>
      </c>
      <c r="I38" s="535"/>
      <c r="J38" s="535"/>
      <c r="K38" s="532"/>
      <c r="L38" s="307"/>
      <c r="M38" s="308"/>
    </row>
    <row r="39" spans="1:14" ht="24" customHeight="1">
      <c r="A39" s="309"/>
      <c r="B39" s="352"/>
      <c r="C39" s="320"/>
      <c r="D39" s="320"/>
      <c r="E39" s="320"/>
      <c r="F39" s="320"/>
      <c r="G39" s="320"/>
      <c r="H39" s="380" t="s">
        <v>173</v>
      </c>
      <c r="I39" s="323"/>
      <c r="J39" s="328"/>
      <c r="K39" s="532"/>
      <c r="L39" s="307"/>
      <c r="M39" s="308"/>
    </row>
    <row r="40" spans="1:14" ht="24" customHeight="1">
      <c r="A40" s="309"/>
      <c r="B40" s="352"/>
      <c r="C40" s="320"/>
      <c r="D40" s="320"/>
      <c r="E40" s="320"/>
      <c r="F40" s="320"/>
      <c r="G40" s="320"/>
      <c r="H40" s="380"/>
      <c r="I40" s="323" t="s">
        <v>174</v>
      </c>
      <c r="J40" s="328">
        <v>57.76</v>
      </c>
      <c r="K40" s="532" t="s">
        <v>51</v>
      </c>
      <c r="L40" s="307"/>
      <c r="M40" s="308"/>
    </row>
    <row r="41" spans="1:14" ht="24" customHeight="1">
      <c r="A41" s="325"/>
      <c r="B41" s="359"/>
      <c r="C41" s="310"/>
      <c r="D41" s="310"/>
      <c r="E41" s="310"/>
      <c r="F41" s="310"/>
      <c r="G41" s="310"/>
      <c r="H41" s="329"/>
      <c r="I41" s="330"/>
      <c r="J41" s="404"/>
      <c r="K41" s="331"/>
      <c r="L41" s="326"/>
      <c r="M41" s="299"/>
    </row>
    <row r="42" spans="1:14" ht="24" customHeight="1">
      <c r="A42" s="302" t="s">
        <v>179</v>
      </c>
      <c r="B42" s="403">
        <v>4</v>
      </c>
      <c r="C42" s="332">
        <v>0.5</v>
      </c>
      <c r="D42" s="332">
        <v>0.75</v>
      </c>
      <c r="E42" s="332">
        <v>1</v>
      </c>
      <c r="F42" s="332">
        <v>1</v>
      </c>
      <c r="G42" s="332">
        <v>1</v>
      </c>
      <c r="H42" s="726" t="s">
        <v>57</v>
      </c>
      <c r="I42" s="722"/>
      <c r="J42" s="722"/>
      <c r="K42" s="723"/>
      <c r="L42" s="304">
        <v>1.6808000000000001</v>
      </c>
      <c r="M42" s="305">
        <f>IF(L42=0,"-",ROUND(L42*B42/B$99,4))</f>
        <v>7.6399999999999996E-2</v>
      </c>
      <c r="N42" s="429" t="s">
        <v>199</v>
      </c>
    </row>
    <row r="43" spans="1:14" ht="24" customHeight="1">
      <c r="A43" s="309" t="s">
        <v>23</v>
      </c>
      <c r="B43" s="352"/>
      <c r="C43" s="320"/>
      <c r="D43" s="320"/>
      <c r="E43" s="320"/>
      <c r="F43" s="335" t="s">
        <v>70</v>
      </c>
      <c r="G43" s="335" t="s">
        <v>70</v>
      </c>
      <c r="H43" s="531" t="s">
        <v>58</v>
      </c>
      <c r="I43" s="535"/>
      <c r="J43" s="535"/>
      <c r="K43" s="532"/>
      <c r="L43" s="307"/>
      <c r="M43" s="308"/>
    </row>
    <row r="44" spans="1:14" ht="24" customHeight="1">
      <c r="A44" s="309" t="s">
        <v>24</v>
      </c>
      <c r="B44" s="352"/>
      <c r="C44" s="320"/>
      <c r="D44" s="320"/>
      <c r="E44" s="320"/>
      <c r="F44" s="335" t="s">
        <v>137</v>
      </c>
      <c r="G44" s="335" t="s">
        <v>138</v>
      </c>
      <c r="H44" s="531" t="s">
        <v>147</v>
      </c>
      <c r="I44" s="535"/>
      <c r="J44" s="535"/>
      <c r="K44" s="532"/>
      <c r="L44" s="307"/>
      <c r="M44" s="308"/>
    </row>
    <row r="45" spans="1:14" ht="24" customHeight="1">
      <c r="A45" s="309"/>
      <c r="B45" s="352"/>
      <c r="C45" s="320"/>
      <c r="D45" s="320"/>
      <c r="E45" s="320"/>
      <c r="F45" s="320"/>
      <c r="G45" s="320"/>
      <c r="H45" s="531" t="s">
        <v>180</v>
      </c>
      <c r="I45" s="535"/>
      <c r="J45" s="535"/>
      <c r="K45" s="532"/>
      <c r="L45" s="307"/>
      <c r="M45" s="308"/>
    </row>
    <row r="46" spans="1:14" ht="24" customHeight="1">
      <c r="A46" s="309"/>
      <c r="B46" s="352"/>
      <c r="C46" s="320"/>
      <c r="D46" s="320"/>
      <c r="E46" s="320"/>
      <c r="F46" s="320"/>
      <c r="G46" s="311"/>
      <c r="H46" s="531"/>
      <c r="I46" s="323" t="s">
        <v>56</v>
      </c>
      <c r="J46" s="324">
        <v>70.97</v>
      </c>
      <c r="K46" s="532" t="s">
        <v>51</v>
      </c>
      <c r="L46" s="307"/>
      <c r="M46" s="308"/>
    </row>
    <row r="47" spans="1:14" ht="24" customHeight="1">
      <c r="A47" s="309"/>
      <c r="B47" s="352"/>
      <c r="C47" s="320"/>
      <c r="D47" s="320"/>
      <c r="E47" s="320"/>
      <c r="F47" s="320"/>
      <c r="G47" s="320"/>
      <c r="H47" s="333"/>
      <c r="I47" s="306"/>
      <c r="J47" s="306"/>
      <c r="K47" s="312"/>
      <c r="L47" s="307"/>
      <c r="M47" s="308"/>
    </row>
    <row r="48" spans="1:14" ht="24" customHeight="1">
      <c r="A48" s="302" t="s">
        <v>181</v>
      </c>
      <c r="B48" s="403">
        <v>4</v>
      </c>
      <c r="C48" s="332">
        <v>0.96</v>
      </c>
      <c r="D48" s="332">
        <v>0.97</v>
      </c>
      <c r="E48" s="332">
        <v>0.98</v>
      </c>
      <c r="F48" s="332">
        <v>0.99</v>
      </c>
      <c r="G48" s="332">
        <v>1</v>
      </c>
      <c r="H48" s="536" t="s">
        <v>148</v>
      </c>
      <c r="I48" s="533"/>
      <c r="J48" s="533"/>
      <c r="K48" s="534"/>
      <c r="L48" s="304">
        <v>1</v>
      </c>
      <c r="M48" s="305">
        <f>IF(L48=0,"-",ROUND(L48*B48/B$99,4))</f>
        <v>4.5499999999999999E-2</v>
      </c>
      <c r="N48" s="429" t="s">
        <v>200</v>
      </c>
    </row>
    <row r="49" spans="1:14" ht="24" customHeight="1">
      <c r="A49" s="309" t="s">
        <v>26</v>
      </c>
      <c r="B49" s="352"/>
      <c r="C49" s="320"/>
      <c r="D49" s="320"/>
      <c r="E49" s="320"/>
      <c r="F49" s="320"/>
      <c r="G49" s="320"/>
      <c r="H49" s="380" t="s">
        <v>149</v>
      </c>
      <c r="I49" s="381"/>
      <c r="J49" s="381"/>
      <c r="K49" s="382"/>
      <c r="L49" s="307"/>
      <c r="M49" s="308"/>
    </row>
    <row r="50" spans="1:14" ht="24" customHeight="1">
      <c r="A50" s="309"/>
      <c r="B50" s="352"/>
      <c r="C50" s="320"/>
      <c r="D50" s="320"/>
      <c r="E50" s="320"/>
      <c r="F50" s="320"/>
      <c r="G50" s="320"/>
      <c r="H50" s="380" t="s">
        <v>75</v>
      </c>
      <c r="I50" s="381"/>
      <c r="J50" s="381"/>
      <c r="K50" s="382"/>
      <c r="L50" s="307"/>
      <c r="M50" s="308"/>
    </row>
    <row r="51" spans="1:14" ht="24" customHeight="1">
      <c r="A51" s="309"/>
      <c r="B51" s="352"/>
      <c r="C51" s="320"/>
      <c r="D51" s="320"/>
      <c r="E51" s="320"/>
      <c r="F51" s="320"/>
      <c r="G51" s="320"/>
      <c r="H51" s="380" t="s">
        <v>182</v>
      </c>
      <c r="I51" s="383"/>
      <c r="J51" s="383"/>
      <c r="K51" s="384"/>
      <c r="L51" s="307"/>
      <c r="M51" s="308"/>
    </row>
    <row r="52" spans="1:14" ht="24" customHeight="1">
      <c r="A52" s="309"/>
      <c r="B52" s="352"/>
      <c r="C52" s="320"/>
      <c r="D52" s="320"/>
      <c r="E52" s="320"/>
      <c r="F52" s="320"/>
      <c r="G52" s="311"/>
      <c r="H52" s="531"/>
      <c r="I52" s="323" t="s">
        <v>56</v>
      </c>
      <c r="J52" s="324">
        <v>95.2</v>
      </c>
      <c r="K52" s="532" t="s">
        <v>51</v>
      </c>
      <c r="L52" s="307"/>
      <c r="M52" s="308"/>
    </row>
    <row r="53" spans="1:14" ht="24" customHeight="1">
      <c r="A53" s="325"/>
      <c r="B53" s="359"/>
      <c r="C53" s="310"/>
      <c r="D53" s="310"/>
      <c r="E53" s="310"/>
      <c r="F53" s="310"/>
      <c r="G53" s="310"/>
      <c r="H53" s="329"/>
      <c r="I53" s="427"/>
      <c r="J53" s="427"/>
      <c r="K53" s="428"/>
      <c r="L53" s="326"/>
      <c r="M53" s="299"/>
    </row>
    <row r="54" spans="1:14" ht="24" customHeight="1">
      <c r="A54" s="302" t="s">
        <v>183</v>
      </c>
      <c r="B54" s="403">
        <v>4</v>
      </c>
      <c r="C54" s="332">
        <v>0.8</v>
      </c>
      <c r="D54" s="332">
        <v>0.85</v>
      </c>
      <c r="E54" s="332">
        <v>0.9</v>
      </c>
      <c r="F54" s="332">
        <v>0.95</v>
      </c>
      <c r="G54" s="332">
        <v>1</v>
      </c>
      <c r="H54" s="386" t="s">
        <v>150</v>
      </c>
      <c r="I54" s="387"/>
      <c r="J54" s="387"/>
      <c r="K54" s="388"/>
      <c r="L54" s="304">
        <v>1</v>
      </c>
      <c r="M54" s="305">
        <f>IF(L54=0,"-",ROUND(L54*B54/B$99,4))</f>
        <v>4.5499999999999999E-2</v>
      </c>
      <c r="N54" s="429" t="s">
        <v>201</v>
      </c>
    </row>
    <row r="55" spans="1:14" ht="24" customHeight="1">
      <c r="A55" s="309" t="s">
        <v>28</v>
      </c>
      <c r="B55" s="352"/>
      <c r="C55" s="320"/>
      <c r="D55" s="320"/>
      <c r="E55" s="320"/>
      <c r="F55" s="320"/>
      <c r="G55" s="320"/>
      <c r="H55" s="531" t="s">
        <v>154</v>
      </c>
      <c r="I55" s="535"/>
      <c r="J55" s="535"/>
      <c r="K55" s="532"/>
      <c r="L55" s="307"/>
      <c r="M55" s="308"/>
    </row>
    <row r="56" spans="1:14" ht="24" customHeight="1">
      <c r="A56" s="309" t="s">
        <v>60</v>
      </c>
      <c r="B56" s="352"/>
      <c r="C56" s="320"/>
      <c r="D56" s="320"/>
      <c r="E56" s="320"/>
      <c r="F56" s="320"/>
      <c r="G56" s="320"/>
      <c r="H56" s="531" t="s">
        <v>64</v>
      </c>
      <c r="I56" s="535"/>
      <c r="J56" s="535"/>
      <c r="K56" s="532"/>
      <c r="L56" s="307"/>
      <c r="M56" s="308"/>
    </row>
    <row r="57" spans="1:14" ht="24" customHeight="1">
      <c r="A57" s="309"/>
      <c r="B57" s="352"/>
      <c r="C57" s="320"/>
      <c r="D57" s="320"/>
      <c r="E57" s="320"/>
      <c r="F57" s="320"/>
      <c r="G57" s="320"/>
      <c r="H57" s="380" t="s">
        <v>180</v>
      </c>
      <c r="I57" s="323"/>
      <c r="J57" s="322"/>
      <c r="K57" s="382"/>
      <c r="L57" s="307"/>
      <c r="M57" s="308"/>
    </row>
    <row r="58" spans="1:14" ht="24" customHeight="1">
      <c r="A58" s="309"/>
      <c r="B58" s="352"/>
      <c r="C58" s="320"/>
      <c r="D58" s="320"/>
      <c r="E58" s="320"/>
      <c r="F58" s="320"/>
      <c r="G58" s="320"/>
      <c r="H58" s="380"/>
      <c r="I58" s="323" t="s">
        <v>66</v>
      </c>
      <c r="J58" s="334">
        <v>53</v>
      </c>
      <c r="K58" s="382" t="s">
        <v>61</v>
      </c>
      <c r="L58" s="307"/>
      <c r="M58" s="308"/>
    </row>
    <row r="59" spans="1:14" ht="24" customHeight="1">
      <c r="A59" s="309"/>
      <c r="B59" s="352"/>
      <c r="C59" s="320"/>
      <c r="D59" s="320"/>
      <c r="E59" s="320"/>
      <c r="F59" s="320"/>
      <c r="G59" s="320"/>
      <c r="H59" s="380"/>
      <c r="I59" s="323" t="s">
        <v>67</v>
      </c>
      <c r="J59" s="334">
        <v>32</v>
      </c>
      <c r="K59" s="382" t="s">
        <v>61</v>
      </c>
      <c r="L59" s="307"/>
      <c r="M59" s="308"/>
    </row>
    <row r="60" spans="1:14" ht="24" customHeight="1">
      <c r="A60" s="309"/>
      <c r="B60" s="352"/>
      <c r="C60" s="320"/>
      <c r="D60" s="320"/>
      <c r="E60" s="320"/>
      <c r="F60" s="320"/>
      <c r="G60" s="320"/>
      <c r="H60" s="531"/>
      <c r="I60" s="323" t="s">
        <v>81</v>
      </c>
      <c r="J60" s="334">
        <f>J59*100/J58</f>
        <v>60.377358490566039</v>
      </c>
      <c r="K60" s="532" t="s">
        <v>51</v>
      </c>
      <c r="L60" s="307"/>
      <c r="M60" s="308"/>
    </row>
    <row r="61" spans="1:14" ht="24" customHeight="1">
      <c r="A61" s="325"/>
      <c r="B61" s="359"/>
      <c r="C61" s="310"/>
      <c r="D61" s="310"/>
      <c r="E61" s="310"/>
      <c r="F61" s="310"/>
      <c r="G61" s="310"/>
      <c r="H61" s="527"/>
      <c r="I61" s="427"/>
      <c r="J61" s="427"/>
      <c r="K61" s="428"/>
      <c r="L61" s="326"/>
      <c r="M61" s="299"/>
    </row>
    <row r="62" spans="1:14" ht="24" customHeight="1">
      <c r="A62" s="302" t="s">
        <v>184</v>
      </c>
      <c r="B62" s="403">
        <v>4</v>
      </c>
      <c r="C62" s="332">
        <v>0.5</v>
      </c>
      <c r="D62" s="332">
        <v>0.75</v>
      </c>
      <c r="E62" s="332">
        <v>1</v>
      </c>
      <c r="F62" s="332">
        <v>1</v>
      </c>
      <c r="G62" s="332">
        <v>1</v>
      </c>
      <c r="H62" s="536" t="s">
        <v>152</v>
      </c>
      <c r="I62" s="533"/>
      <c r="J62" s="533"/>
      <c r="K62" s="534"/>
      <c r="L62" s="304">
        <v>1</v>
      </c>
      <c r="M62" s="305">
        <f>IF(L62=0,"-",ROUND(L62*B62/B$99,4))</f>
        <v>4.5499999999999999E-2</v>
      </c>
    </row>
    <row r="63" spans="1:14" ht="24" customHeight="1">
      <c r="A63" s="309" t="s">
        <v>151</v>
      </c>
      <c r="B63" s="406"/>
      <c r="C63" s="335"/>
      <c r="D63" s="335"/>
      <c r="E63" s="335"/>
      <c r="F63" s="335" t="s">
        <v>70</v>
      </c>
      <c r="G63" s="335" t="s">
        <v>70</v>
      </c>
      <c r="H63" s="535" t="s">
        <v>153</v>
      </c>
      <c r="I63" s="535"/>
      <c r="J63" s="535"/>
      <c r="K63" s="532"/>
      <c r="L63" s="307"/>
      <c r="M63" s="308"/>
    </row>
    <row r="64" spans="1:14" ht="24" customHeight="1">
      <c r="A64" s="309"/>
      <c r="B64" s="406"/>
      <c r="C64" s="335"/>
      <c r="D64" s="335"/>
      <c r="E64" s="335"/>
      <c r="F64" s="335" t="s">
        <v>137</v>
      </c>
      <c r="G64" s="335" t="s">
        <v>138</v>
      </c>
      <c r="H64" s="535" t="s">
        <v>180</v>
      </c>
      <c r="I64" s="535"/>
      <c r="J64" s="535"/>
      <c r="K64" s="532"/>
      <c r="L64" s="307"/>
      <c r="M64" s="308"/>
    </row>
    <row r="65" spans="1:32" ht="24" customHeight="1">
      <c r="A65" s="309"/>
      <c r="B65" s="406"/>
      <c r="C65" s="336"/>
      <c r="D65" s="336"/>
      <c r="E65" s="336"/>
      <c r="F65" s="336"/>
      <c r="G65" s="390"/>
      <c r="H65" s="531"/>
      <c r="I65" s="323" t="s">
        <v>56</v>
      </c>
      <c r="J65" s="324">
        <v>50</v>
      </c>
      <c r="K65" s="532" t="s">
        <v>51</v>
      </c>
      <c r="L65" s="307"/>
      <c r="M65" s="308"/>
    </row>
    <row r="66" spans="1:32" ht="24" customHeight="1">
      <c r="A66" s="325"/>
      <c r="B66" s="359"/>
      <c r="C66" s="310"/>
      <c r="D66" s="310"/>
      <c r="E66" s="310"/>
      <c r="F66" s="310"/>
      <c r="G66" s="310"/>
      <c r="H66" s="527"/>
      <c r="I66" s="528"/>
      <c r="J66" s="528"/>
      <c r="K66" s="529"/>
      <c r="L66" s="326"/>
      <c r="M66" s="299"/>
    </row>
    <row r="67" spans="1:32" ht="24" customHeight="1">
      <c r="A67" s="339" t="s">
        <v>190</v>
      </c>
      <c r="B67" s="407">
        <v>4</v>
      </c>
      <c r="C67" s="340">
        <v>0.65</v>
      </c>
      <c r="D67" s="340">
        <v>0.7</v>
      </c>
      <c r="E67" s="340">
        <v>0.75</v>
      </c>
      <c r="F67" s="340">
        <v>0.8</v>
      </c>
      <c r="G67" s="340">
        <v>0.85</v>
      </c>
      <c r="H67" s="536" t="s">
        <v>156</v>
      </c>
      <c r="I67" s="533"/>
      <c r="J67" s="533"/>
      <c r="K67" s="534"/>
      <c r="L67" s="304">
        <v>1</v>
      </c>
      <c r="M67" s="305">
        <f>IF(L67=0,"-",ROUND(L67*B67/B$99,4))</f>
        <v>4.5499999999999999E-2</v>
      </c>
    </row>
    <row r="68" spans="1:32" ht="24" customHeight="1">
      <c r="A68" s="309" t="s">
        <v>145</v>
      </c>
      <c r="B68" s="352"/>
      <c r="C68" s="320"/>
      <c r="D68" s="320"/>
      <c r="E68" s="320"/>
      <c r="F68" s="320"/>
      <c r="G68" s="320"/>
      <c r="H68" s="531" t="s">
        <v>104</v>
      </c>
      <c r="I68" s="535"/>
      <c r="J68" s="535"/>
      <c r="K68" s="532"/>
      <c r="L68" s="307"/>
      <c r="M68" s="308"/>
    </row>
    <row r="69" spans="1:32" ht="24" customHeight="1">
      <c r="A69" s="389" t="s">
        <v>155</v>
      </c>
      <c r="B69" s="352"/>
      <c r="C69" s="320"/>
      <c r="D69" s="320"/>
      <c r="E69" s="320"/>
      <c r="F69" s="320"/>
      <c r="G69" s="320"/>
      <c r="H69" s="531" t="s">
        <v>105</v>
      </c>
      <c r="I69" s="535"/>
      <c r="J69" s="535"/>
      <c r="K69" s="532"/>
      <c r="L69" s="307"/>
      <c r="M69" s="308"/>
    </row>
    <row r="70" spans="1:32" ht="24" customHeight="1">
      <c r="A70" s="309"/>
      <c r="B70" s="352"/>
      <c r="C70" s="320"/>
      <c r="D70" s="320"/>
      <c r="E70" s="320"/>
      <c r="F70" s="320"/>
      <c r="G70" s="320"/>
      <c r="H70" s="341"/>
      <c r="I70" s="342" t="s">
        <v>113</v>
      </c>
      <c r="J70" s="343" t="s">
        <v>11</v>
      </c>
      <c r="K70" s="532" t="s">
        <v>51</v>
      </c>
      <c r="L70" s="307"/>
      <c r="M70" s="308"/>
    </row>
    <row r="71" spans="1:32" ht="24" customHeight="1">
      <c r="A71" s="325"/>
      <c r="B71" s="359"/>
      <c r="C71" s="310"/>
      <c r="D71" s="310"/>
      <c r="E71" s="310"/>
      <c r="F71" s="310"/>
      <c r="G71" s="416"/>
      <c r="H71" s="705" t="s">
        <v>211</v>
      </c>
      <c r="I71" s="706"/>
      <c r="J71" s="706"/>
      <c r="K71" s="707"/>
      <c r="L71" s="326"/>
      <c r="M71" s="299"/>
    </row>
    <row r="72" spans="1:32" ht="24" customHeight="1">
      <c r="A72" s="302" t="s">
        <v>106</v>
      </c>
      <c r="B72" s="407">
        <v>4</v>
      </c>
      <c r="C72" s="346" t="s">
        <v>29</v>
      </c>
      <c r="D72" s="346" t="s">
        <v>30</v>
      </c>
      <c r="E72" s="346" t="s">
        <v>31</v>
      </c>
      <c r="F72" s="346" t="s">
        <v>32</v>
      </c>
      <c r="G72" s="346" t="s">
        <v>33</v>
      </c>
      <c r="H72" s="536" t="s">
        <v>108</v>
      </c>
      <c r="I72" s="533"/>
      <c r="J72" s="533"/>
      <c r="K72" s="534"/>
      <c r="L72" s="304">
        <v>3</v>
      </c>
      <c r="M72" s="305">
        <f>IF(L72=0,"-",ROUND(L72*B72/B$99,4))</f>
        <v>0.13639999999999999</v>
      </c>
    </row>
    <row r="73" spans="1:32" ht="24" customHeight="1">
      <c r="A73" s="309" t="s">
        <v>107</v>
      </c>
      <c r="B73" s="352"/>
      <c r="C73" s="348">
        <v>1.5</v>
      </c>
      <c r="D73" s="348">
        <v>2</v>
      </c>
      <c r="E73" s="348">
        <v>2.5</v>
      </c>
      <c r="F73" s="348">
        <v>3</v>
      </c>
      <c r="G73" s="348">
        <v>5</v>
      </c>
      <c r="H73" s="531" t="s">
        <v>146</v>
      </c>
      <c r="I73" s="535"/>
      <c r="J73" s="535"/>
      <c r="K73" s="532"/>
      <c r="L73" s="307"/>
      <c r="M73" s="308"/>
      <c r="P73" s="347"/>
    </row>
    <row r="74" spans="1:32" ht="24" customHeight="1">
      <c r="A74" s="309"/>
      <c r="B74" s="352"/>
      <c r="C74" s="344"/>
      <c r="D74" s="344"/>
      <c r="E74" s="344"/>
      <c r="F74" s="344"/>
      <c r="G74" s="344"/>
      <c r="H74" s="531" t="s">
        <v>110</v>
      </c>
      <c r="I74" s="535"/>
      <c r="J74" s="535"/>
      <c r="K74" s="532"/>
      <c r="L74" s="307"/>
      <c r="M74" s="308"/>
    </row>
    <row r="75" spans="1:32" ht="24" customHeight="1">
      <c r="A75" s="309"/>
      <c r="B75" s="352"/>
      <c r="C75" s="344"/>
      <c r="D75" s="344"/>
      <c r="E75" s="344"/>
      <c r="F75" s="344"/>
      <c r="G75" s="344"/>
      <c r="H75" s="531" t="s">
        <v>191</v>
      </c>
      <c r="I75" s="535"/>
      <c r="J75" s="535"/>
      <c r="K75" s="532"/>
      <c r="L75" s="307"/>
      <c r="M75" s="308"/>
    </row>
    <row r="76" spans="1:32" ht="24" customHeight="1">
      <c r="A76" s="309"/>
      <c r="B76" s="352"/>
      <c r="C76" s="344"/>
      <c r="D76" s="344"/>
      <c r="E76" s="344"/>
      <c r="F76" s="344"/>
      <c r="G76" s="344"/>
      <c r="H76" s="531"/>
      <c r="I76" s="323" t="s">
        <v>112</v>
      </c>
      <c r="J76" s="324">
        <v>2.5</v>
      </c>
      <c r="K76" s="382"/>
      <c r="L76" s="307"/>
      <c r="M76" s="308"/>
    </row>
    <row r="77" spans="1:32" ht="24" customHeight="1">
      <c r="A77" s="325"/>
      <c r="B77" s="359"/>
      <c r="C77" s="310"/>
      <c r="D77" s="310"/>
      <c r="E77" s="310"/>
      <c r="F77" s="310"/>
      <c r="G77" s="310"/>
      <c r="H77" s="705" t="s">
        <v>213</v>
      </c>
      <c r="I77" s="706"/>
      <c r="J77" s="706"/>
      <c r="K77" s="707"/>
      <c r="L77" s="326"/>
      <c r="M77" s="299"/>
      <c r="R77" s="349"/>
    </row>
    <row r="78" spans="1:32" ht="24" customHeight="1">
      <c r="A78" s="350" t="s">
        <v>132</v>
      </c>
      <c r="B78" s="407">
        <v>4</v>
      </c>
      <c r="C78" s="340">
        <v>0.1</v>
      </c>
      <c r="D78" s="340">
        <v>0.3</v>
      </c>
      <c r="E78" s="340">
        <v>0.5</v>
      </c>
      <c r="F78" s="340">
        <v>0.7</v>
      </c>
      <c r="G78" s="340">
        <v>1</v>
      </c>
      <c r="H78" s="536" t="s">
        <v>123</v>
      </c>
      <c r="I78" s="533"/>
      <c r="J78" s="533"/>
      <c r="K78" s="534"/>
      <c r="L78" s="304">
        <v>4.8630000000000004</v>
      </c>
      <c r="M78" s="305">
        <f>IF(L78=0,"-",ROUND(L78*B78/B$99,4))</f>
        <v>0.221</v>
      </c>
      <c r="N78" s="542" t="s">
        <v>202</v>
      </c>
    </row>
    <row r="79" spans="1:32" ht="24" customHeight="1">
      <c r="A79" s="351" t="s">
        <v>192</v>
      </c>
      <c r="B79" s="352"/>
      <c r="C79" s="320"/>
      <c r="D79" s="320"/>
      <c r="E79" s="320"/>
      <c r="F79" s="320"/>
      <c r="G79" s="311"/>
      <c r="H79" s="531" t="s">
        <v>124</v>
      </c>
      <c r="I79" s="322"/>
      <c r="J79" s="353"/>
      <c r="K79" s="354"/>
      <c r="L79" s="355"/>
      <c r="M79" s="30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</row>
    <row r="80" spans="1:32" ht="24" customHeight="1">
      <c r="A80" s="351"/>
      <c r="B80" s="352"/>
      <c r="C80" s="320"/>
      <c r="D80" s="320"/>
      <c r="E80" s="320"/>
      <c r="F80" s="320"/>
      <c r="G80" s="320"/>
      <c r="H80" s="535" t="s">
        <v>125</v>
      </c>
      <c r="I80" s="322"/>
      <c r="J80" s="353"/>
      <c r="K80" s="354"/>
      <c r="L80" s="355"/>
      <c r="M80" s="308"/>
      <c r="O80" s="356"/>
      <c r="P80" s="356"/>
      <c r="Q80" s="356"/>
      <c r="R80" s="356"/>
      <c r="S80" s="356"/>
      <c r="T80" s="356"/>
      <c r="U80" s="356"/>
      <c r="V80" s="356"/>
      <c r="W80" s="356"/>
      <c r="X80" s="356"/>
      <c r="Y80" s="356"/>
      <c r="Z80" s="356"/>
      <c r="AA80" s="356"/>
      <c r="AB80" s="356"/>
      <c r="AC80" s="356"/>
      <c r="AD80" s="356"/>
      <c r="AE80" s="356"/>
      <c r="AF80" s="356"/>
    </row>
    <row r="81" spans="1:32" ht="24" customHeight="1">
      <c r="A81" s="351"/>
      <c r="B81" s="352"/>
      <c r="C81" s="320"/>
      <c r="D81" s="320"/>
      <c r="E81" s="320"/>
      <c r="F81" s="320"/>
      <c r="G81" s="320"/>
      <c r="H81" s="531" t="s">
        <v>126</v>
      </c>
      <c r="I81" s="322"/>
      <c r="J81" s="353"/>
      <c r="K81" s="354"/>
      <c r="L81" s="355"/>
      <c r="M81" s="308"/>
      <c r="O81" s="356"/>
      <c r="P81" s="356"/>
      <c r="Q81" s="356"/>
      <c r="R81" s="356"/>
      <c r="S81" s="356"/>
      <c r="T81" s="356"/>
      <c r="U81" s="356"/>
      <c r="V81" s="356"/>
      <c r="W81" s="356"/>
      <c r="X81" s="356"/>
      <c r="Y81" s="356"/>
      <c r="Z81" s="356"/>
      <c r="AA81" s="356"/>
      <c r="AB81" s="356"/>
      <c r="AC81" s="356"/>
      <c r="AD81" s="356"/>
      <c r="AE81" s="356"/>
      <c r="AF81" s="356"/>
    </row>
    <row r="82" spans="1:32" ht="24" customHeight="1">
      <c r="A82" s="351"/>
      <c r="B82" s="352"/>
      <c r="C82" s="320"/>
      <c r="D82" s="320"/>
      <c r="E82" s="320"/>
      <c r="F82" s="320"/>
      <c r="G82" s="320"/>
      <c r="H82" s="531" t="s">
        <v>127</v>
      </c>
      <c r="I82" s="322"/>
      <c r="J82" s="353"/>
      <c r="K82" s="354"/>
      <c r="L82" s="355"/>
      <c r="M82" s="308"/>
      <c r="O82" s="356"/>
      <c r="P82" s="356"/>
      <c r="Q82" s="356"/>
      <c r="R82" s="356"/>
      <c r="S82" s="356"/>
      <c r="T82" s="356"/>
      <c r="U82" s="356"/>
      <c r="V82" s="356"/>
      <c r="W82" s="356"/>
      <c r="X82" s="356"/>
      <c r="Y82" s="356"/>
      <c r="Z82" s="356"/>
      <c r="AA82" s="356"/>
      <c r="AB82" s="356"/>
      <c r="AC82" s="356"/>
      <c r="AD82" s="356"/>
      <c r="AE82" s="356"/>
      <c r="AF82" s="356"/>
    </row>
    <row r="83" spans="1:32" ht="24" customHeight="1">
      <c r="A83" s="351"/>
      <c r="B83" s="352"/>
      <c r="C83" s="320"/>
      <c r="D83" s="320"/>
      <c r="E83" s="320"/>
      <c r="F83" s="320"/>
      <c r="G83" s="320"/>
      <c r="H83" s="531"/>
      <c r="I83" s="323" t="s">
        <v>114</v>
      </c>
      <c r="J83" s="408">
        <v>100</v>
      </c>
      <c r="K83" s="382" t="s">
        <v>51</v>
      </c>
      <c r="L83" s="355"/>
      <c r="M83" s="308"/>
      <c r="O83" s="356"/>
      <c r="P83" s="356"/>
      <c r="Q83" s="356"/>
      <c r="R83" s="356"/>
      <c r="S83" s="356"/>
      <c r="T83" s="356"/>
      <c r="U83" s="356"/>
      <c r="V83" s="356"/>
      <c r="W83" s="356"/>
      <c r="X83" s="356"/>
      <c r="Y83" s="356"/>
      <c r="Z83" s="356"/>
      <c r="AA83" s="356"/>
      <c r="AB83" s="356"/>
      <c r="AC83" s="356"/>
      <c r="AD83" s="356"/>
      <c r="AE83" s="356"/>
      <c r="AF83" s="356"/>
    </row>
    <row r="84" spans="1:32" ht="24" customHeight="1">
      <c r="A84" s="358"/>
      <c r="B84" s="359"/>
      <c r="C84" s="310"/>
      <c r="D84" s="310"/>
      <c r="E84" s="310"/>
      <c r="F84" s="310"/>
      <c r="G84" s="310"/>
      <c r="H84" s="330"/>
      <c r="I84" s="427"/>
      <c r="J84" s="427"/>
      <c r="K84" s="428"/>
      <c r="L84" s="360"/>
      <c r="M84" s="299"/>
      <c r="O84" s="356"/>
      <c r="P84" s="356"/>
      <c r="Q84" s="356"/>
      <c r="R84" s="356"/>
      <c r="S84" s="356"/>
      <c r="T84" s="356"/>
      <c r="U84" s="356"/>
      <c r="V84" s="357"/>
      <c r="W84" s="356"/>
      <c r="X84" s="356"/>
      <c r="Y84" s="356"/>
      <c r="Z84" s="356"/>
      <c r="AA84" s="356"/>
      <c r="AB84" s="356"/>
      <c r="AC84" s="356"/>
      <c r="AD84" s="356"/>
      <c r="AE84" s="356"/>
      <c r="AF84" s="356"/>
    </row>
    <row r="85" spans="1:32" ht="24" customHeight="1">
      <c r="A85" s="302" t="s">
        <v>115</v>
      </c>
      <c r="B85" s="407">
        <v>4</v>
      </c>
      <c r="C85" s="361">
        <v>0.8</v>
      </c>
      <c r="D85" s="361">
        <v>0.85</v>
      </c>
      <c r="E85" s="361">
        <v>0.9</v>
      </c>
      <c r="F85" s="361">
        <v>0.95</v>
      </c>
      <c r="G85" s="361">
        <v>1</v>
      </c>
      <c r="H85" s="536" t="s">
        <v>157</v>
      </c>
      <c r="I85" s="533"/>
      <c r="J85" s="533"/>
      <c r="K85" s="534"/>
      <c r="L85" s="304">
        <v>4.9779999999999998</v>
      </c>
      <c r="M85" s="305">
        <f>IF(L85=0,"-",ROUND(L85*B85/B$99,4))</f>
        <v>0.2263</v>
      </c>
      <c r="N85" s="429" t="s">
        <v>203</v>
      </c>
      <c r="O85" s="356"/>
      <c r="P85" s="356"/>
      <c r="Q85" s="356"/>
      <c r="R85" s="356"/>
      <c r="S85" s="356"/>
      <c r="T85" s="356"/>
      <c r="U85" s="356"/>
      <c r="V85" s="357"/>
      <c r="W85" s="356"/>
      <c r="X85" s="356"/>
      <c r="Y85" s="356"/>
      <c r="Z85" s="356"/>
      <c r="AA85" s="356"/>
      <c r="AB85" s="356"/>
      <c r="AC85" s="356"/>
      <c r="AD85" s="356"/>
      <c r="AE85" s="356"/>
      <c r="AF85" s="356"/>
    </row>
    <row r="86" spans="1:32" ht="24" customHeight="1">
      <c r="A86" s="309" t="s">
        <v>116</v>
      </c>
      <c r="B86" s="352"/>
      <c r="C86" s="348"/>
      <c r="D86" s="348"/>
      <c r="E86" s="348"/>
      <c r="F86" s="348"/>
      <c r="G86" s="348"/>
      <c r="H86" s="531" t="s">
        <v>158</v>
      </c>
      <c r="I86" s="535"/>
      <c r="J86" s="535"/>
      <c r="K86" s="532"/>
      <c r="L86" s="362"/>
      <c r="M86" s="308"/>
      <c r="N86" s="292">
        <v>5</v>
      </c>
      <c r="O86" s="292">
        <v>1</v>
      </c>
    </row>
    <row r="87" spans="1:32" ht="24" customHeight="1">
      <c r="A87" s="309" t="s">
        <v>193</v>
      </c>
      <c r="B87" s="352"/>
      <c r="C87" s="320"/>
      <c r="D87" s="320"/>
      <c r="E87" s="320"/>
      <c r="F87" s="320"/>
      <c r="G87" s="320"/>
      <c r="H87" s="531" t="s">
        <v>197</v>
      </c>
      <c r="I87" s="535"/>
      <c r="J87" s="535"/>
      <c r="K87" s="532"/>
      <c r="L87" s="362"/>
      <c r="M87" s="308"/>
      <c r="N87" s="292">
        <v>4.8899999999999997</v>
      </c>
      <c r="O87" s="292">
        <f>O86*N87/N86</f>
        <v>0.97799999999999998</v>
      </c>
    </row>
    <row r="88" spans="1:32" ht="24" customHeight="1">
      <c r="A88" s="309"/>
      <c r="B88" s="352"/>
      <c r="C88" s="320"/>
      <c r="D88" s="320"/>
      <c r="E88" s="320"/>
      <c r="F88" s="320"/>
      <c r="G88" s="320"/>
      <c r="H88" s="531" t="s">
        <v>120</v>
      </c>
      <c r="I88" s="535"/>
      <c r="J88" s="535"/>
      <c r="K88" s="532"/>
      <c r="L88" s="362"/>
      <c r="M88" s="308"/>
    </row>
    <row r="89" spans="1:32" ht="24" customHeight="1">
      <c r="A89" s="309"/>
      <c r="B89" s="352"/>
      <c r="C89" s="320"/>
      <c r="D89" s="320"/>
      <c r="E89" s="320"/>
      <c r="F89" s="320"/>
      <c r="G89" s="320"/>
      <c r="H89" s="531" t="s">
        <v>194</v>
      </c>
      <c r="I89" s="535"/>
      <c r="J89" s="535"/>
      <c r="K89" s="532"/>
      <c r="L89" s="362"/>
      <c r="M89" s="308"/>
    </row>
    <row r="90" spans="1:32" ht="24" customHeight="1">
      <c r="A90" s="309"/>
      <c r="B90" s="352"/>
      <c r="C90" s="320"/>
      <c r="D90" s="320"/>
      <c r="E90" s="320"/>
      <c r="F90" s="320"/>
      <c r="G90" s="344"/>
      <c r="H90" s="531" t="s">
        <v>195</v>
      </c>
      <c r="I90" s="345"/>
      <c r="J90" s="408">
        <v>99.89</v>
      </c>
      <c r="K90" s="414" t="s">
        <v>51</v>
      </c>
      <c r="L90" s="413"/>
      <c r="M90" s="308"/>
    </row>
    <row r="91" spans="1:32" ht="24" customHeight="1">
      <c r="A91" s="358"/>
      <c r="B91" s="415"/>
      <c r="C91" s="412"/>
      <c r="D91" s="412"/>
      <c r="E91" s="412"/>
      <c r="F91" s="412"/>
      <c r="G91" s="329"/>
      <c r="H91" s="538"/>
      <c r="I91" s="418"/>
      <c r="J91" s="419"/>
      <c r="K91" s="417"/>
      <c r="L91" s="420"/>
      <c r="M91" s="308"/>
    </row>
    <row r="92" spans="1:32" ht="24" customHeight="1">
      <c r="A92" s="351" t="s">
        <v>316</v>
      </c>
      <c r="B92" s="543">
        <v>4</v>
      </c>
      <c r="C92" s="544">
        <v>0.4</v>
      </c>
      <c r="D92" s="544">
        <v>0.45</v>
      </c>
      <c r="E92" s="544">
        <v>0.5</v>
      </c>
      <c r="F92" s="544">
        <v>0.55000000000000004</v>
      </c>
      <c r="G92" s="544">
        <v>0.6</v>
      </c>
      <c r="H92" s="531" t="s">
        <v>317</v>
      </c>
      <c r="I92" s="345"/>
      <c r="J92" s="545"/>
      <c r="K92" s="546"/>
      <c r="L92" s="413">
        <v>4</v>
      </c>
      <c r="M92" s="305">
        <f>IF(L92=0,"-",ROUND(L92*B92/B$99,4))</f>
        <v>0.18179999999999999</v>
      </c>
    </row>
    <row r="93" spans="1:32" ht="23.25">
      <c r="A93" s="351" t="s">
        <v>318</v>
      </c>
      <c r="B93" s="406"/>
      <c r="C93" s="311"/>
      <c r="D93" s="311"/>
      <c r="E93" s="311"/>
      <c r="F93" s="311"/>
      <c r="G93" s="333"/>
      <c r="H93" s="531" t="s">
        <v>319</v>
      </c>
      <c r="I93" s="345"/>
      <c r="J93" s="545"/>
      <c r="K93" s="546"/>
      <c r="L93" s="413"/>
      <c r="M93" s="308"/>
    </row>
    <row r="94" spans="1:32" ht="23.25">
      <c r="A94" s="351"/>
      <c r="B94" s="406"/>
      <c r="C94" s="311"/>
      <c r="D94" s="311"/>
      <c r="E94" s="311"/>
      <c r="F94" s="311"/>
      <c r="G94" s="333"/>
      <c r="H94" s="531"/>
      <c r="I94" s="345"/>
      <c r="J94" s="545"/>
      <c r="K94" s="546"/>
      <c r="L94" s="413"/>
      <c r="M94" s="308"/>
    </row>
    <row r="95" spans="1:32" ht="23.25">
      <c r="A95" s="351"/>
      <c r="B95" s="406"/>
      <c r="C95" s="311"/>
      <c r="D95" s="311"/>
      <c r="E95" s="311"/>
      <c r="F95" s="311"/>
      <c r="G95" s="333"/>
      <c r="H95" s="531"/>
      <c r="I95" s="345" t="s">
        <v>174</v>
      </c>
      <c r="J95" s="547">
        <v>55</v>
      </c>
      <c r="K95" s="414" t="s">
        <v>51</v>
      </c>
      <c r="L95" s="413"/>
      <c r="M95" s="308"/>
    </row>
    <row r="96" spans="1:32" ht="23.25">
      <c r="A96" s="351"/>
      <c r="B96" s="406"/>
      <c r="C96" s="311"/>
      <c r="D96" s="311"/>
      <c r="E96" s="311"/>
      <c r="F96" s="311"/>
      <c r="G96" s="333"/>
      <c r="H96" s="531"/>
      <c r="I96" s="345"/>
      <c r="J96" s="545"/>
      <c r="K96" s="546"/>
      <c r="L96" s="413"/>
      <c r="M96" s="308"/>
    </row>
    <row r="97" spans="1:13" ht="23.25">
      <c r="A97" s="351"/>
      <c r="B97" s="406"/>
      <c r="C97" s="311"/>
      <c r="D97" s="311"/>
      <c r="E97" s="311"/>
      <c r="F97" s="311"/>
      <c r="G97" s="333"/>
      <c r="H97" s="531"/>
      <c r="I97" s="345"/>
      <c r="J97" s="545"/>
      <c r="K97" s="546"/>
      <c r="L97" s="413"/>
      <c r="M97" s="308"/>
    </row>
    <row r="98" spans="1:13" ht="23.25">
      <c r="A98" s="358"/>
      <c r="B98" s="415"/>
      <c r="C98" s="412"/>
      <c r="D98" s="412"/>
      <c r="E98" s="412"/>
      <c r="F98" s="412"/>
      <c r="G98" s="416"/>
      <c r="H98" s="538"/>
      <c r="I98" s="345"/>
      <c r="J98" s="545"/>
      <c r="K98" s="417"/>
      <c r="L98" s="413"/>
      <c r="M98" s="308"/>
    </row>
    <row r="99" spans="1:13" ht="26.25">
      <c r="A99" s="363"/>
      <c r="B99" s="409">
        <f>ROUND(SUM(B6:B98),1)</f>
        <v>88</v>
      </c>
      <c r="C99" s="364"/>
      <c r="D99" s="364"/>
      <c r="E99" s="364"/>
      <c r="F99" s="364"/>
      <c r="G99" s="365"/>
      <c r="H99" s="364"/>
      <c r="I99" s="364"/>
      <c r="J99" s="364"/>
      <c r="K99" s="364"/>
      <c r="L99" s="366" t="s">
        <v>139</v>
      </c>
      <c r="M99" s="410">
        <f>(SUM(M6:M98))</f>
        <v>2.1454000000000004</v>
      </c>
    </row>
  </sheetData>
  <mergeCells count="31">
    <mergeCell ref="H6:I7"/>
    <mergeCell ref="J6:K6"/>
    <mergeCell ref="A1:M1"/>
    <mergeCell ref="A2:M2"/>
    <mergeCell ref="C4:G4"/>
    <mergeCell ref="H4:K5"/>
    <mergeCell ref="L4:L5"/>
    <mergeCell ref="H22:K22"/>
    <mergeCell ref="H9:I9"/>
    <mergeCell ref="H10:I10"/>
    <mergeCell ref="H11:I11"/>
    <mergeCell ref="H12:I13"/>
    <mergeCell ref="J12:K12"/>
    <mergeCell ref="H15:I15"/>
    <mergeCell ref="H16:I16"/>
    <mergeCell ref="H18:I18"/>
    <mergeCell ref="H19:I19"/>
    <mergeCell ref="H20:I20"/>
    <mergeCell ref="H21:K21"/>
    <mergeCell ref="H77:K77"/>
    <mergeCell ref="H23:K23"/>
    <mergeCell ref="H24:K24"/>
    <mergeCell ref="H25:K25"/>
    <mergeCell ref="H27:K27"/>
    <mergeCell ref="H28:K28"/>
    <mergeCell ref="H29:K29"/>
    <mergeCell ref="H30:K30"/>
    <mergeCell ref="H35:K35"/>
    <mergeCell ref="H37:K37"/>
    <mergeCell ref="H42:K42"/>
    <mergeCell ref="H71:K71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3" manualBreakCount="3">
    <brk id="27" max="12" man="1"/>
    <brk id="53" max="12" man="1"/>
    <brk id="7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23</vt:i4>
      </vt:variant>
      <vt:variant>
        <vt:lpstr>ช่วงที่มีชื่อ</vt:lpstr>
      </vt:variant>
      <vt:variant>
        <vt:i4>40</vt:i4>
      </vt:variant>
    </vt:vector>
  </HeadingPairs>
  <TitlesOfParts>
    <vt:vector size="63" baseType="lpstr">
      <vt:lpstr>รอบ 6 เดือน</vt:lpstr>
      <vt:lpstr>รอบ 7 เดือน</vt:lpstr>
      <vt:lpstr>รอบ 8 เดือน</vt:lpstr>
      <vt:lpstr>รอบ 9 เดือน</vt:lpstr>
      <vt:lpstr>รอบ 10 เดือน</vt:lpstr>
      <vt:lpstr>รอบ 11 เดือน </vt:lpstr>
      <vt:lpstr>สพญ.</vt:lpstr>
      <vt:lpstr>ส่วนวิศวกรรม</vt:lpstr>
      <vt:lpstr>ส่วนติดตามและประเมินผล</vt:lpstr>
      <vt:lpstr>ฝ่ายบริหาร</vt:lpstr>
      <vt:lpstr>สพญ.1</vt:lpstr>
      <vt:lpstr>สพญ.2</vt:lpstr>
      <vt:lpstr>สพญ.3</vt:lpstr>
      <vt:lpstr>สพญ.4</vt:lpstr>
      <vt:lpstr>สพญ.5</vt:lpstr>
      <vt:lpstr>สพญ.6</vt:lpstr>
      <vt:lpstr>สพญ.7</vt:lpstr>
      <vt:lpstr>สพญ.8</vt:lpstr>
      <vt:lpstr>สพญ.9</vt:lpstr>
      <vt:lpstr>สพญ.10</vt:lpstr>
      <vt:lpstr>สพญ.11</vt:lpstr>
      <vt:lpstr>สพญ.12</vt:lpstr>
      <vt:lpstr>สพญ.13</vt:lpstr>
      <vt:lpstr>ฝ่ายบริหาร!Print_Area</vt:lpstr>
      <vt:lpstr>สพญ.!Print_Area</vt:lpstr>
      <vt:lpstr>สพญ.1!Print_Area</vt:lpstr>
      <vt:lpstr>สพญ.10!Print_Area</vt:lpstr>
      <vt:lpstr>สพญ.11!Print_Area</vt:lpstr>
      <vt:lpstr>สพญ.12!Print_Area</vt:lpstr>
      <vt:lpstr>สพญ.13!Print_Area</vt:lpstr>
      <vt:lpstr>สพญ.2!Print_Area</vt:lpstr>
      <vt:lpstr>สพญ.3!Print_Area</vt:lpstr>
      <vt:lpstr>สพญ.4!Print_Area</vt:lpstr>
      <vt:lpstr>สพญ.5!Print_Area</vt:lpstr>
      <vt:lpstr>สพญ.6!Print_Area</vt:lpstr>
      <vt:lpstr>สพญ.7!Print_Area</vt:lpstr>
      <vt:lpstr>สพญ.8!Print_Area</vt:lpstr>
      <vt:lpstr>สพญ.9!Print_Area</vt:lpstr>
      <vt:lpstr>ส่วนติดตามและประเมินผล!Print_Area</vt:lpstr>
      <vt:lpstr>ส่วนวิศวกรรม!Print_Area</vt:lpstr>
      <vt:lpstr>ฝ่ายบริหาร!Print_Titles</vt:lpstr>
      <vt:lpstr>'รอบ 10 เดือน'!Print_Titles</vt:lpstr>
      <vt:lpstr>'รอบ 11 เดือน '!Print_Titles</vt:lpstr>
      <vt:lpstr>'รอบ 6 เดือน'!Print_Titles</vt:lpstr>
      <vt:lpstr>'รอบ 7 เดือน'!Print_Titles</vt:lpstr>
      <vt:lpstr>'รอบ 8 เดือน'!Print_Titles</vt:lpstr>
      <vt:lpstr>'รอบ 9 เดือน'!Print_Titles</vt:lpstr>
      <vt:lpstr>สพญ.!Print_Titles</vt:lpstr>
      <vt:lpstr>สพญ.1!Print_Titles</vt:lpstr>
      <vt:lpstr>สพญ.10!Print_Titles</vt:lpstr>
      <vt:lpstr>สพญ.11!Print_Titles</vt:lpstr>
      <vt:lpstr>สพญ.12!Print_Titles</vt:lpstr>
      <vt:lpstr>สพญ.13!Print_Titles</vt:lpstr>
      <vt:lpstr>สพญ.2!Print_Titles</vt:lpstr>
      <vt:lpstr>สพญ.3!Print_Titles</vt:lpstr>
      <vt:lpstr>สพญ.4!Print_Titles</vt:lpstr>
      <vt:lpstr>สพญ.5!Print_Titles</vt:lpstr>
      <vt:lpstr>สพญ.6!Print_Titles</vt:lpstr>
      <vt:lpstr>สพญ.7!Print_Titles</vt:lpstr>
      <vt:lpstr>สพญ.8!Print_Titles</vt:lpstr>
      <vt:lpstr>สพญ.9!Print_Titles</vt:lpstr>
      <vt:lpstr>ส่วนติดตามและประเมินผล!Print_Titles</vt:lpstr>
      <vt:lpstr>ส่วนวิศวกรรม!Print_Titles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KK</cp:lastModifiedBy>
  <cp:lastPrinted>2016-07-12T02:21:08Z</cp:lastPrinted>
  <dcterms:created xsi:type="dcterms:W3CDTF">2013-03-19T03:55:17Z</dcterms:created>
  <dcterms:modified xsi:type="dcterms:W3CDTF">2016-08-10T05:05:46Z</dcterms:modified>
</cp:coreProperties>
</file>